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<sst xmlns="http://schemas.openxmlformats.org/spreadsheetml/2006/main" count="2759" uniqueCount="901">
  <si>
    <t>达拉特旗2024年度第一批稳岗返还单位公示名单</t>
  </si>
  <si>
    <t>单位编号</t>
  </si>
  <si>
    <t>单位名称</t>
  </si>
  <si>
    <t>享受企业类型</t>
  </si>
  <si>
    <t>上年度裁员率</t>
  </si>
  <si>
    <t>是否属于去产能企业</t>
  </si>
  <si>
    <t>是否深度贫困地区</t>
  </si>
  <si>
    <t>申请企业规模</t>
  </si>
  <si>
    <t>是否严重失信企业</t>
  </si>
  <si>
    <t>是否受过环保处罚</t>
  </si>
  <si>
    <t>上年度月均参保人数</t>
  </si>
  <si>
    <t>上年度实际缴纳失业保险费总额</t>
  </si>
  <si>
    <t>补贴金额</t>
  </si>
  <si>
    <t>申请提交时间</t>
  </si>
  <si>
    <t>社会信用代码</t>
  </si>
  <si>
    <t>内蒙古同盛色连煤炭开发有限公司</t>
  </si>
  <si>
    <t>其他</t>
  </si>
  <si>
    <t>否</t>
  </si>
  <si>
    <t>小型企业</t>
  </si>
  <si>
    <t>91150602MA0Q1CPU32</t>
  </si>
  <si>
    <t>内蒙古卓阳工程建设有限公司</t>
  </si>
  <si>
    <t>91150602MA13TU0CXE</t>
  </si>
  <si>
    <t>达拉特旗治通驾校有限责任公司</t>
  </si>
  <si>
    <t>91150621776102629F</t>
  </si>
  <si>
    <t>达拉特旗天利和种子有限责任公司</t>
  </si>
  <si>
    <t>微型企业</t>
  </si>
  <si>
    <t>91150621736127063A</t>
  </si>
  <si>
    <t>达拉特旗宏珠供暖有限公司</t>
  </si>
  <si>
    <t>内蒙古金沙布地恒通光电科技有限公司</t>
  </si>
  <si>
    <t>91150621MA0Q7K5C3X</t>
  </si>
  <si>
    <t>内蒙古页诚油脂有限公司</t>
  </si>
  <si>
    <t>91150621MA0PX4MA2Y</t>
  </si>
  <si>
    <t>鄂尔多斯市企盈财务代理有限公司</t>
  </si>
  <si>
    <t>91150621089589711B</t>
  </si>
  <si>
    <t>鄂尔多斯市路泰新材料科技发展有限公司</t>
  </si>
  <si>
    <t>91150602MA0NCGDW11</t>
  </si>
  <si>
    <t>鄂尔多斯市晨曦新媒体科技有限责任公司</t>
  </si>
  <si>
    <t>91150621MA0PQLQ63U</t>
  </si>
  <si>
    <t>达拉特旗华宇环保建材有限公司</t>
  </si>
  <si>
    <t>91150621L136908912</t>
  </si>
  <si>
    <t>内蒙古蒙泰中源园林绿化工程有限责任公司</t>
  </si>
  <si>
    <t>91150621MA0MXCP33T</t>
  </si>
  <si>
    <t>内蒙古靖熹财务管理有限公司</t>
  </si>
  <si>
    <t>91150621MA0MY1363L</t>
  </si>
  <si>
    <t>内蒙古联胜物流有限责任公司</t>
  </si>
  <si>
    <t>91150621MA0QGUM342</t>
  </si>
  <si>
    <t>内蒙古禾宁科技发展有限公司</t>
  </si>
  <si>
    <t>91150621MA13N1XQ2H</t>
  </si>
  <si>
    <t>鄂尔多斯市王田能源有限公司</t>
  </si>
  <si>
    <t>91150621MA13NEYK59</t>
  </si>
  <si>
    <t>内蒙古秭泰装饰工程有限责任公司</t>
  </si>
  <si>
    <t>91150621MA13P49N4H</t>
  </si>
  <si>
    <t>鄂尔多斯市福瑞堂大药店有限公司</t>
  </si>
  <si>
    <t>91150621MA0MW0JJ8Y</t>
  </si>
  <si>
    <t>达拉特旗精亿财务有限责任公司</t>
  </si>
  <si>
    <t>91150621591978018X</t>
  </si>
  <si>
    <t>内蒙古博祥远运输有限公司</t>
  </si>
  <si>
    <t>91150621MA0NMED410</t>
  </si>
  <si>
    <t>达拉特旗尚杰烟酒商行</t>
  </si>
  <si>
    <t>92150621MA0QKE9H4J</t>
  </si>
  <si>
    <t>鄂尔多斯市兴泰机动车检测服务有限公司</t>
  </si>
  <si>
    <t>91150621MA0PYN7537</t>
  </si>
  <si>
    <t>鄂尔多斯市稳泰圣达市政工程有限责任公司</t>
  </si>
  <si>
    <t>91150602MA0MYEFE05</t>
  </si>
  <si>
    <t>鄂尔多斯市树林召农畜产品市场有限公司</t>
  </si>
  <si>
    <t>91150621783024526B</t>
  </si>
  <si>
    <t>达拉特旗亚汇财务有限公司</t>
  </si>
  <si>
    <t>91150621053913233L</t>
  </si>
  <si>
    <t>达拉特旗金丰公社农业服务有限公司</t>
  </si>
  <si>
    <t>91150621MA0Q71Q07P</t>
  </si>
  <si>
    <t>内蒙古君泰广告装饰有限责任公司</t>
  </si>
  <si>
    <t>91150621MA0N3NE49W</t>
  </si>
  <si>
    <t>鄂尔多斯市民安吊装服务有限公司</t>
  </si>
  <si>
    <t>91150621591976266R</t>
  </si>
  <si>
    <t>达拉特旗倍通机动车检测</t>
  </si>
  <si>
    <t>91150621MA0PQYJ21P</t>
  </si>
  <si>
    <t>内蒙古利泉水利工程有限公司</t>
  </si>
  <si>
    <t>91150621MA0Q17MM53</t>
  </si>
  <si>
    <t>鄂尔多斯市国弘商贸有限公司</t>
  </si>
  <si>
    <t>91150621MA13NLF261</t>
  </si>
  <si>
    <t>鄂尔多斯市蒙元煤炭有限公司</t>
  </si>
  <si>
    <t>91150691MA0Q19TM5A</t>
  </si>
  <si>
    <t>鄂尔多斯市佰嘉诚祥房地产开发有限公司</t>
  </si>
  <si>
    <t>91150621MA13N1Q3X3</t>
  </si>
  <si>
    <t>鄂尔多斯市圣鹰通用航空有限责任公司</t>
  </si>
  <si>
    <t>91150624098917078C</t>
  </si>
  <si>
    <t>鄂尔多斯市同祥物联安防工程有限公司</t>
  </si>
  <si>
    <t>9115062156417214X4</t>
  </si>
  <si>
    <t>达拉特旗蒙禾农牧业投资有限公司</t>
  </si>
  <si>
    <t>91150621MA0MWDU168</t>
  </si>
  <si>
    <t>达拉特旗珂浩政兴商贸有限公司</t>
  </si>
  <si>
    <t>91150621341376591X</t>
  </si>
  <si>
    <t>鄂尔多斯市安信财税管理咨询有限公司</t>
  </si>
  <si>
    <t>91150621MA13N7196T</t>
  </si>
  <si>
    <t>内蒙古光民科技工程有限公司</t>
  </si>
  <si>
    <t>91150621MA13NPTR0A</t>
  </si>
  <si>
    <t>达拉特旗信利合商贸有限公司</t>
  </si>
  <si>
    <t>91150621329005202Y</t>
  </si>
  <si>
    <t>内蒙古亚凯楼宇设备有限公司</t>
  </si>
  <si>
    <t>91150621MA0PRT3U04</t>
  </si>
  <si>
    <t>鄂尔多斯市嘉力建筑材料有限责任公司</t>
  </si>
  <si>
    <t>91150621578895023X</t>
  </si>
  <si>
    <t>内蒙古实运物流有限责任公司</t>
  </si>
  <si>
    <t>91150621MA13NHLM7E</t>
  </si>
  <si>
    <t>内蒙古双新现代农牧业有限责任公司</t>
  </si>
  <si>
    <t>91150621353135445J</t>
  </si>
  <si>
    <t>国能互通（内蒙古）供应链管理有限公司</t>
  </si>
  <si>
    <t>91150621MA0NPY6Q8M</t>
  </si>
  <si>
    <t>鄂尔多斯市万嘉房地产开发有限责任公司</t>
  </si>
  <si>
    <t>91150621MA0QKAPU19</t>
  </si>
  <si>
    <t>内蒙古和泽煤炭有限公司</t>
  </si>
  <si>
    <t>91150621MA0NP6G02M</t>
  </si>
  <si>
    <t>鄂尔多斯市鸿瑞混凝土搅拌有限公司</t>
  </si>
  <si>
    <t>91150621MA13NTB73H</t>
  </si>
  <si>
    <t>达拉特旗建渊社会工作服务中心</t>
  </si>
  <si>
    <t>52150621MJ2489902Y</t>
  </si>
  <si>
    <t>榆林市东升建设工程有限责任公司达拉特旗分公司</t>
  </si>
  <si>
    <t>91150621329077652F</t>
  </si>
  <si>
    <t>达拉特旗佳美乐家政服务有限公司</t>
  </si>
  <si>
    <t>91150621318451530Q</t>
  </si>
  <si>
    <t>内蒙古茂盛泉农牧业开发有限责任公司</t>
  </si>
  <si>
    <t>91150621561239513T</t>
  </si>
  <si>
    <t>内蒙古两宜生物科技集团有限公司</t>
  </si>
  <si>
    <t>91150621MA0MX8G00R</t>
  </si>
  <si>
    <t>鄂尔多斯市富越建材有限公司</t>
  </si>
  <si>
    <t>达拉特旗原野客运有限公司</t>
  </si>
  <si>
    <t>91150621720155107P</t>
  </si>
  <si>
    <t>内蒙古汇之顺商贸有限公司</t>
  </si>
  <si>
    <t>91150621MA13NMBC5Q</t>
  </si>
  <si>
    <t>鄂尔多斯市国华升科技工程有限公司</t>
  </si>
  <si>
    <t>91150621353056982X</t>
  </si>
  <si>
    <t>内蒙古华洁讯科技发展有限公司</t>
  </si>
  <si>
    <t>91150621MA13NJCQ8E</t>
  </si>
  <si>
    <t>鄂尔多斯市畅盛煤炭销售有限公司</t>
  </si>
  <si>
    <t>91150621MA13NG6Y71</t>
  </si>
  <si>
    <t>鄂尔多斯市赛宝音生态牧业有限公司</t>
  </si>
  <si>
    <t>91150621MA0MWJ9G16</t>
  </si>
  <si>
    <t>鄂尔多斯市忠圣鑫投资有限公司</t>
  </si>
  <si>
    <t>91150621MA13N9PJ6F</t>
  </si>
  <si>
    <t>内蒙古璞瑞农牧业有限公司</t>
  </si>
  <si>
    <t>中型企业</t>
  </si>
  <si>
    <t>91150621MA0QGLGFXW</t>
  </si>
  <si>
    <t>达拉特旗泓迅运输有限公司</t>
  </si>
  <si>
    <t>91150621MA0NFHLR0H</t>
  </si>
  <si>
    <t>鄂尔多斯市诺雅煤炭运销有限公司</t>
  </si>
  <si>
    <t>91150621MA0N5C5Q20</t>
  </si>
  <si>
    <t>鄂尔多斯市赫磊煤炭运销有限责任公司</t>
  </si>
  <si>
    <t>鄂尔多斯市东三能源有限公司</t>
  </si>
  <si>
    <t>91150621MA13NG4N44</t>
  </si>
  <si>
    <t>内蒙古万融园林绿化有限公司</t>
  </si>
  <si>
    <t>91150621MA0NLHBQ17</t>
  </si>
  <si>
    <t>鄂尔多斯市启城物业管理服务有限公司</t>
  </si>
  <si>
    <t>91150621MA0QJ6NR8J</t>
  </si>
  <si>
    <t>内蒙古浩田能源股份有限公司</t>
  </si>
  <si>
    <t>91150621578890134K</t>
  </si>
  <si>
    <t>鄂尔多斯市伟博煤炭运销有限公司</t>
  </si>
  <si>
    <t>91150621MA0PRKQT44</t>
  </si>
  <si>
    <t>鄂尔多斯市仁和堂大药房有限公司</t>
  </si>
  <si>
    <t>91150621353125319E</t>
  </si>
  <si>
    <t>内蒙古鑫成煤业有限公司</t>
  </si>
  <si>
    <t>91150621318459647Y</t>
  </si>
  <si>
    <t>达拉特旗红黄蓝儿童亲子乐园</t>
  </si>
  <si>
    <t>92150621MA0QBLFW5G</t>
  </si>
  <si>
    <t>达拉特旗振兴农业节水灌溉有限责任公司</t>
  </si>
  <si>
    <t>91150621MA0PX3QF6A</t>
  </si>
  <si>
    <t>内蒙古润达实业发展有限公司</t>
  </si>
  <si>
    <t>91150621095784740M</t>
  </si>
  <si>
    <t>鄂尔多斯市汇远环保科技有限责任公司</t>
  </si>
  <si>
    <t>91150621MA0Q4HFM4D</t>
  </si>
  <si>
    <t>达拉特旗朝聚验光配镜有限公司</t>
  </si>
  <si>
    <t>91150621MA0QAYPA9B</t>
  </si>
  <si>
    <t>达拉特旗天億汽车销售有限责任公司</t>
  </si>
  <si>
    <t>91150621MA0NHQMJ7P</t>
  </si>
  <si>
    <t>鄂尔多斯市水务投资控股集团有限公司达拉特旗分公司</t>
  </si>
  <si>
    <t>91150621MA0QB1PY0A</t>
  </si>
  <si>
    <t>内蒙古浩田物流股份有限公司</t>
  </si>
  <si>
    <t>内蒙古榆神能源有限公司</t>
  </si>
  <si>
    <t>91150602MA0NQDBC3J</t>
  </si>
  <si>
    <t>鄂尔多斯市毅发机动车检测有限公司</t>
  </si>
  <si>
    <t>91150621MA0NFK3A5F</t>
  </si>
  <si>
    <t>达拉特旗鑫玉石英砂有限公司</t>
  </si>
  <si>
    <t>91150621558147829F</t>
  </si>
  <si>
    <t>鄂尔多斯市柏康医药有限公司</t>
  </si>
  <si>
    <t>鄂尔多斯市林源祥餐饮有限公司</t>
  </si>
  <si>
    <t>91150621MA0PWFB3XA</t>
  </si>
  <si>
    <t>内蒙古软维云科技有限责任公司</t>
  </si>
  <si>
    <t>91150621MA13N2T159</t>
  </si>
  <si>
    <t>鄂尔多斯市乾瑞祥大药房有限公司</t>
  </si>
  <si>
    <t>91150621341338122J</t>
  </si>
  <si>
    <t>内蒙古源鸿建设工程有限公司</t>
  </si>
  <si>
    <t>91150621MA0Q2K3G69</t>
  </si>
  <si>
    <t>达拉特旗超宇装饰有限公司</t>
  </si>
  <si>
    <t>91150621701417300N</t>
  </si>
  <si>
    <t>内蒙古普纳沙旅游有限公司</t>
  </si>
  <si>
    <t>91150621MA0N63AP7H</t>
  </si>
  <si>
    <t>鄂尔多斯市涌达化工有限公司</t>
  </si>
  <si>
    <t>91150621585185791C</t>
  </si>
  <si>
    <t>内蒙古国峰医药咨询有限公司</t>
  </si>
  <si>
    <t>91150621MA13N9LG6C</t>
  </si>
  <si>
    <t>鄂尔多斯市尚山煤炭有限公司</t>
  </si>
  <si>
    <t>91150621MA0PR7YU8W</t>
  </si>
  <si>
    <t>鄂尔多斯市正苑财务代理有限公司</t>
  </si>
  <si>
    <t>达拉特旗万达财务有限责任公司</t>
  </si>
  <si>
    <t>内蒙古立名大药店有限公司</t>
  </si>
  <si>
    <t>91150621MA13N5MJ67</t>
  </si>
  <si>
    <t>达拉特旗安通机动车检测有限公司</t>
  </si>
  <si>
    <t>达拉特旗海业物业管理有限责任公司</t>
  </si>
  <si>
    <t>91150621667341022D</t>
  </si>
  <si>
    <t>内蒙古航兴宏达环保科技有限公司</t>
  </si>
  <si>
    <t>91150621318535486T</t>
  </si>
  <si>
    <t>鄂尔多斯市众兴诚建筑安装有限公司</t>
  </si>
  <si>
    <t>91150621MA13N34P5A</t>
  </si>
  <si>
    <t>达拉特旗耿盛物业管理有限公司</t>
  </si>
  <si>
    <t>91150621783043903Y</t>
  </si>
  <si>
    <t>内蒙古睿誉工业自动化设备有限公司</t>
  </si>
  <si>
    <t>91150621MA0NERGT7K</t>
  </si>
  <si>
    <t>鄂尔多斯市海真工贸有限公司</t>
  </si>
  <si>
    <t>91150621588811743Y</t>
  </si>
  <si>
    <t>内蒙古荣科财税服务有限公司</t>
  </si>
  <si>
    <t>91150621MA13N7EL73</t>
  </si>
  <si>
    <t>内蒙古云极网络科技有限公司</t>
  </si>
  <si>
    <t>91150621MA0MYKNK7C</t>
  </si>
  <si>
    <t>鄂尔多斯市益博投资有限公司</t>
  </si>
  <si>
    <t>91150621MA13N4L280</t>
  </si>
  <si>
    <t>鄂尔多斯市兴邦建筑工程有限公司</t>
  </si>
  <si>
    <t>91150621MA0NELFK0W</t>
  </si>
  <si>
    <t>内蒙古融邦煤炭运销有限责任公司</t>
  </si>
  <si>
    <t>91150621MA0ND4CY48</t>
  </si>
  <si>
    <t>内蒙古盛德源化工有限公司</t>
  </si>
  <si>
    <t>91150621MA0NPD1C4M</t>
  </si>
  <si>
    <t>内蒙古飞行家航空发展有限公司</t>
  </si>
  <si>
    <t>91150621MA0Q8YDF2J</t>
  </si>
  <si>
    <t>达拉特旗华中工贸有限责任公司</t>
  </si>
  <si>
    <t>内蒙古正通建设工程项目管理有限公司</t>
  </si>
  <si>
    <t>鄂尔多斯市匠心工程咨询管理有限公司</t>
  </si>
  <si>
    <t>91150627MA0N6B0U6A</t>
  </si>
  <si>
    <t>达拉特旗芮丰电力器材有限责任公司</t>
  </si>
  <si>
    <t>鄂尔多斯市匠心土地规划设计有限公司</t>
  </si>
  <si>
    <t>91150621MA13N2AU1W</t>
  </si>
  <si>
    <t>达拉特旗广汇水务投资有限公司</t>
  </si>
  <si>
    <t>91150621MA0MWDWG1X</t>
  </si>
  <si>
    <t>鄂尔多斯市博迈财务管理有限公司</t>
  </si>
  <si>
    <t>91150621MA13N3XT22</t>
  </si>
  <si>
    <t>达拉特旗亿鑫玻璃钢制品有限公司</t>
  </si>
  <si>
    <t>91150621MA13N1LQ6T</t>
  </si>
  <si>
    <t>鄂尔多斯市鑫坤港运销有限公司</t>
  </si>
  <si>
    <t>91150621089581779G</t>
  </si>
  <si>
    <t>鄂尔多斯市蒙钢实业有限公司</t>
  </si>
  <si>
    <t>91150621MA0N255E9H</t>
  </si>
  <si>
    <t>内蒙古丰腾工贸有限公司</t>
  </si>
  <si>
    <t>91150621MA0NRW1T66</t>
  </si>
  <si>
    <t>内蒙古骞岳网络科技有限公司</t>
  </si>
  <si>
    <t>91150621MA13N2RE9D</t>
  </si>
  <si>
    <t>达拉特旗官牛犋老年公寓</t>
  </si>
  <si>
    <t>52150621075553822Q</t>
  </si>
  <si>
    <t>鄂尔多斯市金利达商品混凝土有限公司</t>
  </si>
  <si>
    <t>91150621695919258A</t>
  </si>
  <si>
    <t>内蒙古浩安环保建材有限责任公司</t>
  </si>
  <si>
    <t>91150621MA0Q35KWXA</t>
  </si>
  <si>
    <t>达拉特旗惠泽通运输有限公司</t>
  </si>
  <si>
    <t>91150621MA0N922A7N</t>
  </si>
  <si>
    <t>内蒙古芃润农业有限责任公司</t>
  </si>
  <si>
    <t>91150621MA13N1LY1H</t>
  </si>
  <si>
    <t>内蒙古忠信再生资源科技有限责任公司</t>
  </si>
  <si>
    <t>达拉特旗恒昇商品混凝土有限责任公司</t>
  </si>
  <si>
    <t>91150621552841326B</t>
  </si>
  <si>
    <t>鄂尔多斯市鸿发顺煤炭有限公司</t>
  </si>
  <si>
    <t>91150621MA0NG9RU7K</t>
  </si>
  <si>
    <t>鄂尔多斯市永旺环保建材有限公司</t>
  </si>
  <si>
    <t>91150621328968891C</t>
  </si>
  <si>
    <t>鄂尔多斯市万通农牧业科技有限公司</t>
  </si>
  <si>
    <t>91150621699496512Q</t>
  </si>
  <si>
    <t>内蒙古邦泰投资有限公司</t>
  </si>
  <si>
    <t>91150621MA0PTQAA40</t>
  </si>
  <si>
    <t>达拉特旗亨得利眼镜有限公司</t>
  </si>
  <si>
    <t>91150621MA0MY2PE1F</t>
  </si>
  <si>
    <t>内蒙古鑫上德机电有限责任公司</t>
  </si>
  <si>
    <t>91150621099052635F</t>
  </si>
  <si>
    <t>内蒙古建亨能源科技有限公司</t>
  </si>
  <si>
    <t>91150621MA0PXTYU0C</t>
  </si>
  <si>
    <t>内蒙古王爱召农业观光有限公司</t>
  </si>
  <si>
    <t>91150621MA0MYRG83X</t>
  </si>
  <si>
    <t>内蒙古强鑫丰新能源有限责任公司</t>
  </si>
  <si>
    <t>91150621MA0Q258H5E</t>
  </si>
  <si>
    <t>内蒙古广盛环境治理工程有限公司</t>
  </si>
  <si>
    <t>91150621MA0Q46B25N</t>
  </si>
  <si>
    <t>内蒙古和瑞工程材料检测有限公司</t>
  </si>
  <si>
    <t>91150621597336649E</t>
  </si>
  <si>
    <t>达拉特旗开达城乡建设有限公司</t>
  </si>
  <si>
    <t>91150621699482583E</t>
  </si>
  <si>
    <t>达拉特旗建设投资集团有限公司</t>
  </si>
  <si>
    <t>91150621MA0N00PN50</t>
  </si>
  <si>
    <t>达拉特旗建达资产运营管理有限公司</t>
  </si>
  <si>
    <t>91150621MA0N01AT15</t>
  </si>
  <si>
    <t>鄂尔多斯市中硕生态农业发展有限公司</t>
  </si>
  <si>
    <t>91150621670659541Q</t>
  </si>
  <si>
    <t>鄂尔多斯市彩胜建设工程有限公司</t>
  </si>
  <si>
    <t>91150621676922689E</t>
  </si>
  <si>
    <t>达拉特旗凯弘商砼有限责任公司</t>
  </si>
  <si>
    <t>91150621552820250F</t>
  </si>
  <si>
    <t>达拉特旗融亿升财务有限公司</t>
  </si>
  <si>
    <t>达拉特旗恒润幼儿园</t>
  </si>
  <si>
    <t>52150621MJY092962D</t>
  </si>
  <si>
    <t>鄂尔多斯市崯泰煤业有限公司</t>
  </si>
  <si>
    <t>91150621MA0MYU418G</t>
  </si>
  <si>
    <t>达拉特旗交通投资有限责任公司</t>
  </si>
  <si>
    <t>91150621MA0MWE0C8P</t>
  </si>
  <si>
    <t>内蒙古众搏建筑工程有限公司</t>
  </si>
  <si>
    <t>91150621MA0NERHJ1E</t>
  </si>
  <si>
    <t>鄂尔多斯市远一项目管理有限责任公司</t>
  </si>
  <si>
    <t>91150621MA0PYFTQ34</t>
  </si>
  <si>
    <t>鄂尔多斯市亿龙建筑工程有限责任公司</t>
  </si>
  <si>
    <t>91150621MA0MWB634E</t>
  </si>
  <si>
    <t>鄂尔多斯市耿盛商品混凝土有限公司</t>
  </si>
  <si>
    <t>91150621793618176G</t>
  </si>
  <si>
    <t>鄂尔多斯市金泰荣煤炭有限责任公司</t>
  </si>
  <si>
    <t>91150621564172799D</t>
  </si>
  <si>
    <t>达拉特旗水源种养殖农民专业合作社</t>
  </si>
  <si>
    <t>93150621053917998Q</t>
  </si>
  <si>
    <t>内蒙古汇融鼎盛信息服务有限公司</t>
  </si>
  <si>
    <t>9115062132900033X7</t>
  </si>
  <si>
    <t>达拉特旗金源运输有限责任公司</t>
  </si>
  <si>
    <t>91150621767861017K</t>
  </si>
  <si>
    <t>鄂尔多斯市峰峰电子科技有限公司</t>
  </si>
  <si>
    <t>91150621318456163J</t>
  </si>
  <si>
    <t>内蒙古凯富建设有限责任公司</t>
  </si>
  <si>
    <t>91150602MA0N70JW9U</t>
  </si>
  <si>
    <t>内蒙古浩安停车场管理有限公司</t>
  </si>
  <si>
    <t>91150621353121641W</t>
  </si>
  <si>
    <t>内蒙古祯宝光电科技有限公司</t>
  </si>
  <si>
    <t>91150621MA0N4RT32P</t>
  </si>
  <si>
    <t>鄂尔多斯市中工工程项目管理有限责任公司</t>
  </si>
  <si>
    <t>9115062159195581X7</t>
  </si>
  <si>
    <t>内蒙古富凯建设工程有限公司</t>
  </si>
  <si>
    <t>91150621MA0N04NN31</t>
  </si>
  <si>
    <t>达拉特旗永光开锁有限责任公司</t>
  </si>
  <si>
    <t>91150621670682098U</t>
  </si>
  <si>
    <t>内蒙古中达羊绒制品有限公司</t>
  </si>
  <si>
    <t>91150621564173935D</t>
  </si>
  <si>
    <t>内蒙古誉恒化工有限公司</t>
  </si>
  <si>
    <t>91150621MA0PY5U42R</t>
  </si>
  <si>
    <t>内蒙古蒙藏魂乳业有限公司</t>
  </si>
  <si>
    <t>91150621MA0NEKW615</t>
  </si>
  <si>
    <t>内蒙古正昊物业管理有限公司</t>
  </si>
  <si>
    <t>91150621MA0MXK6W1G</t>
  </si>
  <si>
    <t>内蒙古凯盛汽车城有限公司</t>
  </si>
  <si>
    <t>91150621783038784B</t>
  </si>
  <si>
    <t>鄂尔多斯市资邦商贸有限责任公司</t>
  </si>
  <si>
    <t>鄂尔多斯市达众顺驾驶员培训有限公司</t>
  </si>
  <si>
    <t>91150621070123807L</t>
  </si>
  <si>
    <t>鄂尔多斯市达拉特旗恒源消防安全教育职业培训学校</t>
  </si>
  <si>
    <t>52150621MJ2490006Y</t>
  </si>
  <si>
    <t>达拉特旗东泽机动车检测有限责任公司</t>
  </si>
  <si>
    <t>鄂尔多斯市晶钰电力工程有限责任公司</t>
  </si>
  <si>
    <t>内蒙古新昊再生资源有限公司</t>
  </si>
  <si>
    <t>91150621MA0Q1GAJ9Y</t>
  </si>
  <si>
    <t>内蒙古佳诚美研商贸有限公司</t>
  </si>
  <si>
    <t>91150621MA0NR0697R</t>
  </si>
  <si>
    <t>内蒙古蒙海煤炭贸易有限公司</t>
  </si>
  <si>
    <t>91150621MA0N09UY1K</t>
  </si>
  <si>
    <t>鄂尔多斯市艺苑绿化有限责任公司</t>
  </si>
  <si>
    <t>91150621779483500B</t>
  </si>
  <si>
    <t>鄂尔多斯市华实设备清洗有限公司</t>
  </si>
  <si>
    <t>91150621573266447L</t>
  </si>
  <si>
    <t>鄂尔多斯市得一电子商务有限责任公司</t>
  </si>
  <si>
    <t>91150621MA0MW07N48</t>
  </si>
  <si>
    <t>鄂尔多斯市东方希望畜牧有限公司</t>
  </si>
  <si>
    <t>91150621MA0PRGHN7U</t>
  </si>
  <si>
    <t>大地（天津）选煤企业管理有限公司高头窑分公司</t>
  </si>
  <si>
    <t>91150621MA0NHXEP40</t>
  </si>
  <si>
    <t>达拉特旗软维信息技术有限责任公司</t>
  </si>
  <si>
    <t>91150621329028762N</t>
  </si>
  <si>
    <t>鄂尔多斯市荣欣苗木有限公司</t>
  </si>
  <si>
    <t>91150621MA0N1B7T5G</t>
  </si>
  <si>
    <t>内蒙古万艺建设工程有限公司</t>
  </si>
  <si>
    <t>91150621MA0NG29B8Q</t>
  </si>
  <si>
    <t>内蒙古火蚁营销策划有限公司</t>
  </si>
  <si>
    <t>91150621MA0MXHXDXU</t>
  </si>
  <si>
    <t>内蒙古雷欧检测服务有限公司</t>
  </si>
  <si>
    <t>91150621MA0PRK2W6F</t>
  </si>
  <si>
    <t>内蒙古德韵电子工程有限责任公司</t>
  </si>
  <si>
    <t>91150621MA0MY9XC5E</t>
  </si>
  <si>
    <t>鄂尔多斯市海业房地产开发有限公司</t>
  </si>
  <si>
    <t>91150621783031611J</t>
  </si>
  <si>
    <t>鄂尔多斯市恒森生态开发有限公司</t>
  </si>
  <si>
    <t>91150621078389343G</t>
  </si>
  <si>
    <t>苏德（达拉特旗）环保科技有限公司</t>
  </si>
  <si>
    <t>91150621MA0PT1E424</t>
  </si>
  <si>
    <t>达拉特旗皓康服装店</t>
  </si>
  <si>
    <t>92150621MA0Q18WJ72</t>
  </si>
  <si>
    <t>内蒙古金顺建设有限公司</t>
  </si>
  <si>
    <t>91150621MA0ND4G28E</t>
  </si>
  <si>
    <t>鄂尔多斯市诠释广告有限责任公司</t>
  </si>
  <si>
    <t>达拉特旗智远电脑经销部</t>
  </si>
  <si>
    <t>92150621MA0PU35C19</t>
  </si>
  <si>
    <t>内蒙古金元测绘技术有限公司</t>
  </si>
  <si>
    <t>鄂尔多斯市宏城国土环境技术服务有限公司</t>
  </si>
  <si>
    <t>鄂尔多斯市嘉欣商贸有限责任公司</t>
  </si>
  <si>
    <t>91150621573291757R</t>
  </si>
  <si>
    <t>内蒙古园峰大药房有限公司</t>
  </si>
  <si>
    <t>91150621MA0MY8E89A</t>
  </si>
  <si>
    <t>内蒙古东翼工贸有限公司</t>
  </si>
  <si>
    <t>达拉特旗人和广告有限责任公司</t>
  </si>
  <si>
    <t>91150621075582906P</t>
  </si>
  <si>
    <t>鄂尔多斯市锦秀彩广告有限责任公司</t>
  </si>
  <si>
    <t>91150621MA0N8B4Y5R</t>
  </si>
  <si>
    <t>鄂尔多斯市中地天然气有限公司</t>
  </si>
  <si>
    <t>内蒙古融泰能源有限公司</t>
  </si>
  <si>
    <t>91150621MA0PWD7G58</t>
  </si>
  <si>
    <t>内蒙古正时草业有限责任公司</t>
  </si>
  <si>
    <t>91150621318406182T</t>
  </si>
  <si>
    <t>内蒙古中正康源牧业有限公司</t>
  </si>
  <si>
    <t>91150621318409033Q</t>
  </si>
  <si>
    <t>达拉特旗众辉农业开发有限责任公司</t>
  </si>
  <si>
    <t>91150621MA0PT03A9A</t>
  </si>
  <si>
    <t>内蒙古信敏惠纳米科技有限公司</t>
  </si>
  <si>
    <t>91150621MA0NCJ6G45</t>
  </si>
  <si>
    <t>内蒙古王爱召文化旅游有限公司</t>
  </si>
  <si>
    <t>鄂尔多斯市众创孵化产业园管理有限公司</t>
  </si>
  <si>
    <t>91150621MA0MX6Y425</t>
  </si>
  <si>
    <t>内蒙古圣龙大地科技有限公司</t>
  </si>
  <si>
    <t>91150621MA0N04KL8D</t>
  </si>
  <si>
    <t>内蒙古普晨农牧科技有限公司</t>
  </si>
  <si>
    <t>91150621MA0MX17K8G</t>
  </si>
  <si>
    <t>内蒙古丝绸之路建设工程有限公司</t>
  </si>
  <si>
    <t>91150621MA0PWNQY0Q</t>
  </si>
  <si>
    <t>鄂尔多斯市光赢商贸有限责任公司</t>
  </si>
  <si>
    <t>91150621699485223W</t>
  </si>
  <si>
    <t>内蒙古益河盛水利水电工程有限公司</t>
  </si>
  <si>
    <t>91150621MA0NN1C10X</t>
  </si>
  <si>
    <t>达拉特旗盛丰粮食购销有限公司</t>
  </si>
  <si>
    <t>内蒙古恒咨项目管理有限公司</t>
  </si>
  <si>
    <t>91150621561238879D</t>
  </si>
  <si>
    <t>鄂尔多斯市众立善旅游服务有限公司</t>
  </si>
  <si>
    <t>91150621MA0PUT694E</t>
  </si>
  <si>
    <t>鄂尔多斯市腾凯渊商贸有限公司</t>
  </si>
  <si>
    <t>91150621690058989R</t>
  </si>
  <si>
    <t>鄂尔多斯市山鑫电力工程有限责任公司</t>
  </si>
  <si>
    <t>内蒙古美之净水处理设备有限责任公司</t>
  </si>
  <si>
    <t>91150621MA0MWXFA9A</t>
  </si>
  <si>
    <t>内蒙古裕和安全技术咨询服务有限公司</t>
  </si>
  <si>
    <t>9115062109594832XR</t>
  </si>
  <si>
    <t>达拉特旗凤源祥养殖有限公司</t>
  </si>
  <si>
    <t>鄂尔多斯市兴达阳光置业（集团）有限责任公司</t>
  </si>
  <si>
    <t>91150621733255967J</t>
  </si>
  <si>
    <t>内蒙古昱丰煤炭经销有限公司</t>
  </si>
  <si>
    <t>91150621MA0NEE3E6T</t>
  </si>
  <si>
    <t>达拉特旗宇黄公路服务有限公司</t>
  </si>
  <si>
    <t>内蒙古大漠情生态治理有限公司</t>
  </si>
  <si>
    <t>91150621MA0N8HY98C</t>
  </si>
  <si>
    <t>鄂尔多斯市蓝达建筑有限责任公司</t>
  </si>
  <si>
    <t>91150621MA0MY7BR2X</t>
  </si>
  <si>
    <t>鄂尔多斯市蒙赫建设工程有限公司</t>
  </si>
  <si>
    <t>91150621MA0PQXDX49</t>
  </si>
  <si>
    <t>达拉特旗红黄蓝幼儿园</t>
  </si>
  <si>
    <t>52150621MJY078132Q</t>
  </si>
  <si>
    <t>内蒙古崇德尚业建设工程有限公司</t>
  </si>
  <si>
    <t>91150621MA0NDLH39U</t>
  </si>
  <si>
    <t>鄂尔多斯市衡立农机有限责任公司达拉特旗分公司</t>
  </si>
  <si>
    <t>鄂尔多斯市宏运汽车服务有限公司</t>
  </si>
  <si>
    <t>91150621573288232N</t>
  </si>
  <si>
    <t>鄂尔多斯市联杨建筑安装有限责任公司</t>
  </si>
  <si>
    <t>91150621MA0N03AU51</t>
  </si>
  <si>
    <t>内蒙古金盛德能源有限公司</t>
  </si>
  <si>
    <t>91150621MA0N0KBU8K</t>
  </si>
  <si>
    <t>内蒙古长河文化发展有限责任公司</t>
  </si>
  <si>
    <t>91150621MA0MWEBF2N</t>
  </si>
  <si>
    <t>内蒙古磐宏实业有限公司</t>
  </si>
  <si>
    <t>91150621MA0NFQ8CXC</t>
  </si>
  <si>
    <t>内蒙古蒙兴鸿业投资有限责任公司</t>
  </si>
  <si>
    <t>91150621MA0NG8P9XJ</t>
  </si>
  <si>
    <t>鄂尔多斯市绿泰园林绿化科技发展中心</t>
  </si>
  <si>
    <t>91150602MA0NDYJR3D</t>
  </si>
  <si>
    <t>内蒙古弘源盛世餐饮有限公司</t>
  </si>
  <si>
    <t>91150621MA0NN1AL19</t>
  </si>
  <si>
    <t>内蒙古兴光医疗器械有限责任公司</t>
  </si>
  <si>
    <t>91150621MA0NEFKY0T</t>
  </si>
  <si>
    <t>内蒙古万福园物业管理有限公司</t>
  </si>
  <si>
    <t>液化空气（达拉特旗）有限公司</t>
  </si>
  <si>
    <t>91150600MA0MXH572C</t>
  </si>
  <si>
    <t>内蒙古万创元宇建设工程有限公司</t>
  </si>
  <si>
    <t>91150621MA0MYRHX4C</t>
  </si>
  <si>
    <t>达拉特旗成营商贸有限公司</t>
  </si>
  <si>
    <t>91150621093014611B</t>
  </si>
  <si>
    <t>内蒙古羊煤土气电子商务有限公司</t>
  </si>
  <si>
    <t>91150621570610708A</t>
  </si>
  <si>
    <t>达拉特旗伊达食品有限公司</t>
  </si>
  <si>
    <t>91150621116990325D</t>
  </si>
  <si>
    <t>鄂尔多斯市远光商砼有限责任公司</t>
  </si>
  <si>
    <t>91150621699493565H</t>
  </si>
  <si>
    <t>内蒙古昊远建筑材料运输有限责任公司</t>
  </si>
  <si>
    <t>91150602MA0Q3KMF4F</t>
  </si>
  <si>
    <t>内蒙古安特威盾防水科技有限公司</t>
  </si>
  <si>
    <t>内蒙古正祥会计师事务所（普通合伙）</t>
  </si>
  <si>
    <t>91150621MA0N6K6P8H</t>
  </si>
  <si>
    <t>内蒙古亿鼎星建筑工程有限公司</t>
  </si>
  <si>
    <t>9115062157569084X2</t>
  </si>
  <si>
    <t>鄂尔多斯市万亿通工程建设有限公司</t>
  </si>
  <si>
    <t>91150621MA0PYTNL2M</t>
  </si>
  <si>
    <t>鄂尔多斯市尚山能源科技有限公司</t>
  </si>
  <si>
    <t>91150621MA0N854N9J</t>
  </si>
  <si>
    <t>达拉特旗宏腾物业管理有限责任公司</t>
  </si>
  <si>
    <t>9115062167694751X3</t>
  </si>
  <si>
    <t>达拉特旗建渊职业培训学校</t>
  </si>
  <si>
    <t>52150621075596806P</t>
  </si>
  <si>
    <t>内蒙古中北天目科技有限公司</t>
  </si>
  <si>
    <t>91150621670682354C</t>
  </si>
  <si>
    <t>鄂尔多斯市蒙泰铝业有限责任公司</t>
  </si>
  <si>
    <t>91150621MA0N0D9K48</t>
  </si>
  <si>
    <t>达拉特旗凯安商贸有限公司</t>
  </si>
  <si>
    <t>91150621397356709Q</t>
  </si>
  <si>
    <t>鄂尔多斯市新能物流有限公司</t>
  </si>
  <si>
    <t>91150621MA0N43CA6W</t>
  </si>
  <si>
    <t>鄂尔多斯市万瑞天然气有限责任公司</t>
  </si>
  <si>
    <t>91150621397813279U</t>
  </si>
  <si>
    <t>达拉特旗朝聚眼科医院有限责任公司</t>
  </si>
  <si>
    <t>91150621MA0MXWCY9E</t>
  </si>
  <si>
    <t>内蒙古振耀律师事务所</t>
  </si>
  <si>
    <t>31150000MD0166315C</t>
  </si>
  <si>
    <t>内蒙古保利药业有限公司</t>
  </si>
  <si>
    <t>91150621MA0MXB2G0G</t>
  </si>
  <si>
    <t>鄂尔多斯市雷斯特商贸有限公司</t>
  </si>
  <si>
    <t>91150621MA0MX50G1W</t>
  </si>
  <si>
    <t>内蒙古富通昌达网络工程有限公司</t>
  </si>
  <si>
    <t>91150621MA0MX9HY8E</t>
  </si>
  <si>
    <t>鄂尔多斯市天地真金农业科技有限责任公司</t>
  </si>
  <si>
    <t>91150621MA0MYCTG0P</t>
  </si>
  <si>
    <t>内蒙古东源工程材料检测有限公司</t>
  </si>
  <si>
    <t>91150621692854399W</t>
  </si>
  <si>
    <t>达拉特旗东源宇龙王水质监测有限责任公司</t>
  </si>
  <si>
    <t>91150621564177901T</t>
  </si>
  <si>
    <t>鄂尔多斯市隆恒升商贸有限责任公司</t>
  </si>
  <si>
    <t>91150621399095143L</t>
  </si>
  <si>
    <t>内蒙古东达獭兔循环产业研究院</t>
  </si>
  <si>
    <t>5215000031853677XX</t>
  </si>
  <si>
    <t>内蒙古能建恒达新能源有限公司</t>
  </si>
  <si>
    <t>91150621318466185J</t>
  </si>
  <si>
    <t>内蒙古科迪自控设备有限公司</t>
  </si>
  <si>
    <t>内蒙古石彤岩土工程有限责任公司</t>
  </si>
  <si>
    <t>达拉特旗国有资产经营有限责任公司</t>
  </si>
  <si>
    <t>内蒙古盖伦律师事务所</t>
  </si>
  <si>
    <t>3115000068654823XW</t>
  </si>
  <si>
    <t>鄂尔多斯市华盟粮油有限公司</t>
  </si>
  <si>
    <t>91150621MA0MW1UW7G</t>
  </si>
  <si>
    <t>内蒙古广艺装饰装潢有限公司</t>
  </si>
  <si>
    <t>91150621MA0MW79AX7</t>
  </si>
  <si>
    <t>内蒙古新创资源再生有限公司</t>
  </si>
  <si>
    <t>91150621093254754J</t>
  </si>
  <si>
    <t>鄂尔多斯市远明建筑工程有限责任公司</t>
  </si>
  <si>
    <t>91150602787053121D</t>
  </si>
  <si>
    <t>内蒙古中盛规划测绘有限责任公司</t>
  </si>
  <si>
    <t>91150621MA0MY3JP63</t>
  </si>
  <si>
    <t>内蒙古皓天环境检测有限责任公司</t>
  </si>
  <si>
    <t>内蒙古宏伟房地产资产评估有限责任公司</t>
  </si>
  <si>
    <t>91150621767856816A</t>
  </si>
  <si>
    <t>达拉特旗益阳煤炭运销有限公司</t>
  </si>
  <si>
    <t>91150621353123727H</t>
  </si>
  <si>
    <t>达拉特旗新臣建筑有限公司</t>
  </si>
  <si>
    <t>91150621MA0MXYH67A</t>
  </si>
  <si>
    <t>达拉特旗天衡高血压专科门诊有限公司</t>
  </si>
  <si>
    <t>91150621L57989465N</t>
  </si>
  <si>
    <t>鄂尔多斯市永安路桥有限责任公司</t>
  </si>
  <si>
    <t>91150602699492546T</t>
  </si>
  <si>
    <t>鄂尔多斯市卓信物业管理服务有限公司</t>
  </si>
  <si>
    <t>91150621MA0Q1E2P1F</t>
  </si>
  <si>
    <t>内蒙古西敖都农牧业有限公司</t>
  </si>
  <si>
    <t>达拉特旗同旭运输有限责任公司</t>
  </si>
  <si>
    <t>鄂尔多斯市永孚洪煤炭有限公司</t>
  </si>
  <si>
    <t>91150621MA0Q0YH28G</t>
  </si>
  <si>
    <t>达拉特旗富兴达建材有限公司</t>
  </si>
  <si>
    <t>91150621MA0MYHM92E</t>
  </si>
  <si>
    <t>鄂尔多斯市天洲财税管理有限公司</t>
  </si>
  <si>
    <t>91150621MA13N3AT6J</t>
  </si>
  <si>
    <t>鄂尔多斯市蒙泰新型铝合金材料有限责任公司</t>
  </si>
  <si>
    <t>91150621MA0QAJN700</t>
  </si>
  <si>
    <t>鄂尔多斯市茂林经贸有限公司</t>
  </si>
  <si>
    <t>91150621787071004G</t>
  </si>
  <si>
    <t>内蒙古天洲农业科技有限公司</t>
  </si>
  <si>
    <t>91150691MA0NGJCR4U</t>
  </si>
  <si>
    <t>绿能碳汇（集团）有限公司</t>
  </si>
  <si>
    <t>91150621341297682R</t>
  </si>
  <si>
    <t>内蒙古双全测绘有限公司</t>
  </si>
  <si>
    <t>91150621MA0Q27043U</t>
  </si>
  <si>
    <t>鄂尔多斯市峰瑞电力工程有限责任公司</t>
  </si>
  <si>
    <t>91150621089553495C</t>
  </si>
  <si>
    <t>鄂尔多斯市塞外粮品农业有限公司</t>
  </si>
  <si>
    <t>91150621MA13Q5QH17</t>
  </si>
  <si>
    <t>鄂尔多斯市金农有机肥有限公司</t>
  </si>
  <si>
    <t>91150621MA0NHN8N24</t>
  </si>
  <si>
    <t>鄂尔多斯市国开建设工程有限公司</t>
  </si>
  <si>
    <t>91150621MA0PTNX78N</t>
  </si>
  <si>
    <t>达拉特旗伊达房地产开发有限责任公司</t>
  </si>
  <si>
    <t>91150621660996608Y</t>
  </si>
  <si>
    <t>达拉特旗满天星物业管理有限责任公司</t>
  </si>
  <si>
    <t>达拉特旗久邦粮油购销有限公司</t>
  </si>
  <si>
    <t>91150621816995960P</t>
  </si>
  <si>
    <t>达拉特旗东源过境公路项目有限责任公司</t>
  </si>
  <si>
    <t>内蒙古丝绸之路供水有限公司</t>
  </si>
  <si>
    <t>91150621MA0MWNK60E</t>
  </si>
  <si>
    <t>中国邮政集团有限公司内蒙古自治区达拉特旗分公司</t>
  </si>
  <si>
    <t>91150621817000339K</t>
  </si>
  <si>
    <t>内蒙古黄河几字湾农牧业发展有限责任公司</t>
  </si>
  <si>
    <t>91150621MA13R7K3X9</t>
  </si>
  <si>
    <t>达拉特旗人和商贸有限责任公司</t>
  </si>
  <si>
    <t>91150621399710986F</t>
  </si>
  <si>
    <t>鄂尔多斯市百名御物业管理有限责任公司</t>
  </si>
  <si>
    <t>91150621MA0PWHGF57</t>
  </si>
  <si>
    <t>达拉特旗京诚应收账款债权管理有限公司</t>
  </si>
  <si>
    <t>91150621MA0QW4BU1F</t>
  </si>
  <si>
    <t>达拉特旗京汇资产管理有限责任公司</t>
  </si>
  <si>
    <t>91150621MA0QW4BT3L</t>
  </si>
  <si>
    <t>内蒙古万赫煤业有限公司</t>
  </si>
  <si>
    <t>91150621MA0PX3BU3K</t>
  </si>
  <si>
    <t>内蒙古玖鑫煤业有限公司</t>
  </si>
  <si>
    <t>达拉特旗优然牧业有限责任公司</t>
  </si>
  <si>
    <t>91150621097246866Y</t>
  </si>
  <si>
    <t>达拉特旗安多拉运输有限公司</t>
  </si>
  <si>
    <t>内蒙古众兴羊绒制品有限公司</t>
  </si>
  <si>
    <t>91150621328999591R</t>
  </si>
  <si>
    <t>达拉特旗琢璞教育培训有限公司</t>
  </si>
  <si>
    <t>91150621MA13N28Y1L</t>
  </si>
  <si>
    <t>内蒙古和通水利工程有限责任公司</t>
  </si>
  <si>
    <t>91150621065000300P</t>
  </si>
  <si>
    <t>内蒙古荣信化工有限公司</t>
  </si>
  <si>
    <t>达拉特旗润达供水有限公司</t>
  </si>
  <si>
    <t>91150621085164388T</t>
  </si>
  <si>
    <t>鄂尔多斯市德济堂大药房有限公司</t>
  </si>
  <si>
    <t>91150621MA0N337H60</t>
  </si>
  <si>
    <t>内蒙古鸿裕天隆建筑安装工程有限公司</t>
  </si>
  <si>
    <t>91150621MA0PQFXW4X</t>
  </si>
  <si>
    <t>内蒙古鑫浩物业管理服务有限责任公司</t>
  </si>
  <si>
    <t>9115062158882398X5</t>
  </si>
  <si>
    <t>鄂尔多斯市人人家商贸有限责任公司</t>
  </si>
  <si>
    <t>91150621067536838U</t>
  </si>
  <si>
    <t>内蒙古佳成爆破工程有限公司</t>
  </si>
  <si>
    <t>内蒙古天河文化传媒有限责任公司</t>
  </si>
  <si>
    <t>91150621566948626C</t>
  </si>
  <si>
    <t>鄂尔多斯市天天顺大药房有限公司</t>
  </si>
  <si>
    <t>91150621MA13QDRD75</t>
  </si>
  <si>
    <t>鄂尔多斯市东达物流有限公司</t>
  </si>
  <si>
    <t>内蒙古佳元市政工程有限责任公司</t>
  </si>
  <si>
    <t>鄂尔多斯市瑞象农牧科技发展有限公司</t>
  </si>
  <si>
    <t>91150621MA13NM6W73</t>
  </si>
  <si>
    <t>内蒙古庆源供水有限责任公司</t>
  </si>
  <si>
    <t>91150621092163498R</t>
  </si>
  <si>
    <t>内蒙古联润水务有限公司</t>
  </si>
  <si>
    <t>91150621092597368F</t>
  </si>
  <si>
    <t>内蒙古升鹏商贸有限公司</t>
  </si>
  <si>
    <t>91150621MA13NF622D</t>
  </si>
  <si>
    <t>达拉特旗裕祥农牧业有限责任公司</t>
  </si>
  <si>
    <t>鄂尔多斯市康泰仑农牧业有限责任公司</t>
  </si>
  <si>
    <t>91150600575679413U</t>
  </si>
  <si>
    <t>内蒙古悦沙春酒业有限公司</t>
  </si>
  <si>
    <t>91150621MA0PWJ6P9A</t>
  </si>
  <si>
    <t>鄂尔多斯市赛科星养殖有限责任公司</t>
  </si>
  <si>
    <t>91150621078385107G</t>
  </si>
  <si>
    <t>内蒙古三石酒店管理有限公司</t>
  </si>
  <si>
    <t>91150621MA0QRGUN0H</t>
  </si>
  <si>
    <t>内蒙古智辉工程质量检测有限公司</t>
  </si>
  <si>
    <t>91150621057827826R</t>
  </si>
  <si>
    <t>内蒙古百胜酒店管理有限公司</t>
  </si>
  <si>
    <t>91150621MA0QRH039P</t>
  </si>
  <si>
    <t>内蒙古恒星化学有限公司</t>
  </si>
  <si>
    <t>91150621MA0Q32L141</t>
  </si>
  <si>
    <t>鄂尔多斯市诚新物资股份有限公司</t>
  </si>
  <si>
    <t>鄂尔多斯市畅远货运股份有限公司</t>
  </si>
  <si>
    <t>91150621564184749E</t>
  </si>
  <si>
    <t>鄂尔多斯市东澳建设工程股份有限公司</t>
  </si>
  <si>
    <t>内蒙古漠源生态农业开发有限公司</t>
  </si>
  <si>
    <t>91150621MA0N21JM20</t>
  </si>
  <si>
    <t>内蒙古宇和能源管理服务有限公司</t>
  </si>
  <si>
    <t>91150621MA13P7A6XR</t>
  </si>
  <si>
    <t>内蒙古和易水利工程有限责任公司</t>
  </si>
  <si>
    <t>91150621591978886C</t>
  </si>
  <si>
    <t>内蒙古鄂尔多斯市潮脑梁煤炭有限公司</t>
  </si>
  <si>
    <t>鄂尔多斯市东达林沙产业开发有限公司</t>
  </si>
  <si>
    <t>达拉特旗东益路桥有限责任公司</t>
  </si>
  <si>
    <t>91150621767887452R</t>
  </si>
  <si>
    <t>内蒙古真金种业科技有限公司</t>
  </si>
  <si>
    <t>91150621670699332E</t>
  </si>
  <si>
    <t>达拉特旗经纬达国土资源勘测有限公司</t>
  </si>
  <si>
    <t>91150621050597386N</t>
  </si>
  <si>
    <t>达拉特旗通源燃气有限责任公司</t>
  </si>
  <si>
    <t>91150621575663542U</t>
  </si>
  <si>
    <t>鄂尔多斯市星华电气工程有限公司</t>
  </si>
  <si>
    <t>91150621575669274F</t>
  </si>
  <si>
    <t>鄂尔多斯市骑士牧场有限责任公司</t>
  </si>
  <si>
    <t>内蒙古艺昊建设有限公司</t>
  </si>
  <si>
    <t>鄂尔多斯市远光水利工程有限责任公司</t>
  </si>
  <si>
    <t>91150621686517599X</t>
  </si>
  <si>
    <t>达拉特旗中硕工程咨询服务有限责任公司</t>
  </si>
  <si>
    <t>9115062157063024XJ</t>
  </si>
  <si>
    <t>内蒙古电力（集团）有限责任公司鄂尔多斯电业局达拉特供电分局</t>
  </si>
  <si>
    <t>大型企业</t>
  </si>
  <si>
    <t>鄂尔多斯市久源水泥制品有限责任公司</t>
  </si>
  <si>
    <t>91150621552814475H</t>
  </si>
  <si>
    <t>内蒙古祥鑫水利工程有限公司</t>
  </si>
  <si>
    <t>91150621699472078Q</t>
  </si>
  <si>
    <t>内蒙古东达锦园宾馆有限公司</t>
  </si>
  <si>
    <t>达拉特旗信业水泥制品有限责任公司</t>
  </si>
  <si>
    <t>91150621050589386D</t>
  </si>
  <si>
    <t>达拉特旗宝利丰农牧业开发有限责任公司</t>
  </si>
  <si>
    <t>达拉特旗鹿达气体有限责任公司</t>
  </si>
  <si>
    <t>91150621674396259U</t>
  </si>
  <si>
    <t>内蒙古自治区达拉特旗公证处</t>
  </si>
  <si>
    <t>32150000461100346C</t>
  </si>
  <si>
    <t>内蒙古天远化工有限公司</t>
  </si>
  <si>
    <t>91150621561246684W</t>
  </si>
  <si>
    <t>鄂尔多斯市益通路桥有限公司</t>
  </si>
  <si>
    <t>91150621674367773P</t>
  </si>
  <si>
    <t>达拉特旗天庆能源有限责任公司</t>
  </si>
  <si>
    <t>鄂尔多斯市中轩生化股份有限公司</t>
  </si>
  <si>
    <t>91150600699491826M</t>
  </si>
  <si>
    <t>鄂尔多斯市永通路桥有限公司</t>
  </si>
  <si>
    <t>91150621776137338P</t>
  </si>
  <si>
    <t>内蒙古凯弘房地产开发有限责任公司</t>
  </si>
  <si>
    <t>鄂尔多斯市水投福源水务有限公司</t>
  </si>
  <si>
    <t>达拉特旗农村信用合作联社</t>
  </si>
  <si>
    <t>9115062181699700XN</t>
  </si>
  <si>
    <t>鄂尔多斯市日玥兴商贸有限责任公司</t>
  </si>
  <si>
    <t>91150602670660825A</t>
  </si>
  <si>
    <t>鄂尔多斯市亿伦商砼有限责任公司</t>
  </si>
  <si>
    <t>9115062169287850X9</t>
  </si>
  <si>
    <t>鄂尔多斯市汇达液化天然气有限责任公司</t>
  </si>
  <si>
    <t>鄂尔多斯市国中水务有限公司</t>
  </si>
  <si>
    <t>91150621676924772U</t>
  </si>
  <si>
    <t>内蒙古新明阳建设有限公司</t>
  </si>
  <si>
    <t>91150621680040136A</t>
  </si>
  <si>
    <t>鄂尔多斯市津源化工有限责任公司</t>
  </si>
  <si>
    <t>91150621683423562T</t>
  </si>
  <si>
    <t>达旗昌达天然气有限责任公司</t>
  </si>
  <si>
    <t>91150621701428843F</t>
  </si>
  <si>
    <t>达拉特旗益兴气体有限公司</t>
  </si>
  <si>
    <t>91150621787095997J</t>
  </si>
  <si>
    <t>达拉特中银富登村镇银行股份有限公司</t>
  </si>
  <si>
    <t>91150000680024662E</t>
  </si>
  <si>
    <t>内蒙古达拉特正通电力有限责任公司</t>
  </si>
  <si>
    <t>91150621117006182K</t>
  </si>
  <si>
    <t>鄂尔多斯市恒润置业有限责任公司</t>
  </si>
  <si>
    <t>内蒙古渤海化工有限公司</t>
  </si>
  <si>
    <t>91150621793611273A</t>
  </si>
  <si>
    <t>鄂尔多斯市全德兴建筑安装有限责任公司</t>
  </si>
  <si>
    <t>内蒙古蒙达发电有限责任公司</t>
  </si>
  <si>
    <t>91150621114121054C</t>
  </si>
  <si>
    <t>达拉特旗津华化工有限公司</t>
  </si>
  <si>
    <t>91150621793611329D</t>
  </si>
  <si>
    <t>中国人民财产保险股份有限公司达拉特旗支公司</t>
  </si>
  <si>
    <t>91150621816999566G</t>
  </si>
  <si>
    <t>内蒙古北联电能源开发有限责任公司吴四圪堵煤矿</t>
  </si>
  <si>
    <t>91150621787079532K</t>
  </si>
  <si>
    <t>鄂尔多斯市万金汇水务建设有限责任公司</t>
  </si>
  <si>
    <t>91150621570625125W</t>
  </si>
  <si>
    <t>内蒙古金茂水利工程有限责任公司</t>
  </si>
  <si>
    <t>91150621701417036B</t>
  </si>
  <si>
    <t>内蒙古东源水利市政工程有限责任公司</t>
  </si>
  <si>
    <t>91150621736109439F</t>
  </si>
  <si>
    <t>鄂尔多斯市昊华红庆梁矿业有限公司</t>
  </si>
  <si>
    <t>91150621591995811F</t>
  </si>
  <si>
    <t>内蒙古亿利冀东水泥有限责任公司</t>
  </si>
  <si>
    <t>91150621787061885H</t>
  </si>
  <si>
    <t>达拉特旗欣康医院</t>
  </si>
  <si>
    <t>52150621752565119L</t>
  </si>
  <si>
    <t>新能能源有限公司</t>
  </si>
  <si>
    <t>91150600717866493J</t>
  </si>
  <si>
    <t>内蒙古新威远生物化工有限公司</t>
  </si>
  <si>
    <t>91150600761099009J</t>
  </si>
  <si>
    <t>达拉特旗爱心医院有限责任公司</t>
  </si>
  <si>
    <t>91150621MA0QB4GB3X</t>
  </si>
  <si>
    <t>鄂尔多斯市华气达昌燃气有限责任公司</t>
  </si>
  <si>
    <t>中国广电内蒙古网络有限公司达拉特旗分公司</t>
  </si>
  <si>
    <t>91150621772218069E</t>
  </si>
  <si>
    <t>达拉特旗凯盛汽车销售有限公司</t>
  </si>
  <si>
    <t>中国联合网络通信有限公司达拉特旗分公司</t>
  </si>
  <si>
    <t>内蒙古东源环保科技股份有限公司</t>
  </si>
  <si>
    <t>内蒙古东达假日酒店有限公司</t>
  </si>
  <si>
    <t>内蒙古东达生物科技有限公司</t>
  </si>
  <si>
    <t>91150621566909459M</t>
  </si>
  <si>
    <t>内蒙古兴达市政有限公司</t>
  </si>
  <si>
    <t>91150621793621690H</t>
  </si>
  <si>
    <t>鄂尔多斯市兴达建筑工程有限责任公司</t>
  </si>
  <si>
    <t>91150621747931022C</t>
  </si>
  <si>
    <t>中国人寿保险股份有限公司达拉特旗支公司</t>
  </si>
  <si>
    <t>91150621816999574B</t>
  </si>
  <si>
    <t>中国农业发展银行达拉特旗支行</t>
  </si>
  <si>
    <t>91150621816999742D</t>
  </si>
  <si>
    <t>鄂尔多斯市兴成产业发展有限公司</t>
  </si>
  <si>
    <t>91150621695931441L</t>
  </si>
  <si>
    <t>中国建设银行股份有限公司达拉特旗支行</t>
  </si>
  <si>
    <t>达拉特旗福源泉生态建设有限责任公司</t>
  </si>
  <si>
    <t>91150621720158973M</t>
  </si>
  <si>
    <t>中国工商银行股份有限公司达拉特支行</t>
  </si>
  <si>
    <t>91150621816994044P</t>
  </si>
  <si>
    <t>内蒙古东方工程有限公司</t>
  </si>
  <si>
    <t>达拉特旗励达企业财务咨询有限公司</t>
  </si>
  <si>
    <t>鄂尔多斯市东达路桥有限责任公司</t>
  </si>
  <si>
    <t>达拉特旗旭日电子有限公司</t>
  </si>
  <si>
    <t>91150621117006131B</t>
  </si>
  <si>
    <t>鄂尔多斯市兴林建安集团有限责任公司</t>
  </si>
  <si>
    <t>鄂尔多斯市耿盛建筑有限责任公司</t>
  </si>
  <si>
    <t>91150621117006529R</t>
  </si>
  <si>
    <t>中国农业银行股份有限公司达拉特旗支行</t>
  </si>
  <si>
    <t>91150621816994052J</t>
  </si>
  <si>
    <t>内蒙古响沙湾旅游有限公司</t>
  </si>
  <si>
    <t>91150621701416500T</t>
  </si>
  <si>
    <t>达拉特旗宏阳建筑设计有限责任公司</t>
  </si>
  <si>
    <t>91150621701417431J</t>
  </si>
  <si>
    <t>内蒙古东达羊绒制品有限公司</t>
  </si>
  <si>
    <t>91150621626590129Y</t>
  </si>
  <si>
    <t>鄂尔多斯市烟草公司达拉特旗卷烟营销部</t>
  </si>
  <si>
    <t>91150600787051257D</t>
  </si>
  <si>
    <t>内蒙古鄂尔多斯市新华书店有限公司达拉特旗分公司</t>
  </si>
  <si>
    <t>91150621116991109K</t>
  </si>
  <si>
    <t>达拉特旗保安服务有限责任公司</t>
  </si>
  <si>
    <t>91150621116991811K</t>
  </si>
  <si>
    <t>达拉特旗金运公交有限公司</t>
  </si>
  <si>
    <t>91150621767861367R</t>
  </si>
  <si>
    <t>中央储备粮达拉特直属库有限公司</t>
  </si>
  <si>
    <t>达拉特旗大树湾粮油购销有限公司</t>
  </si>
  <si>
    <t>达拉特旗金泰粮油购销有限公司</t>
  </si>
  <si>
    <t>9115062111699158XG</t>
  </si>
  <si>
    <t>达拉特旗金恒粮油购销有限公司</t>
  </si>
  <si>
    <t>91150621783005907T</t>
  </si>
  <si>
    <t>达拉特旗创盛粮油购销有限公司</t>
  </si>
  <si>
    <t>91150621116990536W</t>
  </si>
  <si>
    <t>中国石油天然气股份有限公司内蒙古鄂尔多斯市销售分公司达拉特旗经营部</t>
  </si>
  <si>
    <t>91150621736147486U</t>
  </si>
  <si>
    <t>内蒙古蒙威达煤炭经销有限公司</t>
  </si>
  <si>
    <t>91150621MA13P7FH1T</t>
  </si>
  <si>
    <t>鄂尔多斯市巨昌新能源有限责任公司</t>
  </si>
  <si>
    <t>鄂尔多斯市国中天地环保科技有限公司</t>
  </si>
  <si>
    <t>9115062131844391XX</t>
  </si>
  <si>
    <t>达拉特旗翔晔商贸有限责任公司</t>
  </si>
  <si>
    <t>91150621578861309B</t>
  </si>
  <si>
    <t>达拉特旗卫东商贸有限责任公司</t>
  </si>
  <si>
    <t>91150621581791348P</t>
  </si>
  <si>
    <t>鄂尔多斯市贴鑫大药房有限公司</t>
  </si>
  <si>
    <t>91150621MA0NA2AT9J</t>
  </si>
  <si>
    <t>达拉特旗大器物流有限公司</t>
  </si>
  <si>
    <t>91150621MA13NPKQ51</t>
  </si>
  <si>
    <t>达拉特旗健和医药有限责任公司</t>
  </si>
  <si>
    <t>91150621MA0PYY833L</t>
  </si>
  <si>
    <t>达拉特旗鑫瑞旅行社有限责任公司</t>
  </si>
  <si>
    <t>91150621676937282X</t>
  </si>
  <si>
    <t>达拉特旗蒙禾国鑫水利工程有限公司</t>
  </si>
  <si>
    <t>91150621MA13N3YT9D</t>
  </si>
  <si>
    <t>鄂尔多斯市启蓓艺术培训有限公司</t>
  </si>
  <si>
    <t>91150621MA0N00WP6G</t>
  </si>
  <si>
    <t>达拉特旗倍通二手车交易市场有限公司</t>
  </si>
  <si>
    <t>91150621MA13QCU31C</t>
  </si>
  <si>
    <t>内蒙古京兆巨石商贸有限公司</t>
  </si>
  <si>
    <t>91150621MA13N6YBXH</t>
  </si>
  <si>
    <t>达拉特旗东朋文体用品有限公司</t>
  </si>
  <si>
    <t>91150621MA13NCLJ9D</t>
  </si>
  <si>
    <t>内蒙古安源财税咨询有限公司</t>
  </si>
  <si>
    <t>91150621MA0MXRKU3T</t>
  </si>
  <si>
    <t>鄂尔多斯市汇康大药店连锁有限责任公司康德店</t>
  </si>
  <si>
    <t>91150621MA0Q76C28W</t>
  </si>
  <si>
    <t>内蒙古万兆顺商贸有限责任公司</t>
  </si>
  <si>
    <t>91150621MA0PTGJR30</t>
  </si>
  <si>
    <t>内蒙古奥莱德商贸有限公司</t>
  </si>
  <si>
    <t>91150621MA13N91F0W</t>
  </si>
  <si>
    <t>鄂尔多斯市精英制冷设备有限公司</t>
  </si>
  <si>
    <t>91150621MA0MXF4G45</t>
  </si>
  <si>
    <t>鄂尔多斯市京顺大药房连锁有限公司康鑫店</t>
  </si>
  <si>
    <t>91150621MA0Q7E5X9X</t>
  </si>
  <si>
    <t>鄂尔多斯市汇诚煤炭经销有限责任公司</t>
  </si>
  <si>
    <t>91150621MA0Q04NR9U</t>
  </si>
  <si>
    <t>鄂尔多斯市碳九煤炭销售有限公司</t>
  </si>
  <si>
    <t>91150621MA0MY8N51U</t>
  </si>
  <si>
    <t>达拉特旗金辰利通机动车检测有限公司</t>
  </si>
  <si>
    <t>91150621MA0Q2LL10Y</t>
  </si>
  <si>
    <t>内蒙古保龄堂大药房有限公司</t>
  </si>
  <si>
    <t>91150621MA13P51X8Y</t>
  </si>
  <si>
    <t>鄂尔多斯市津津乐稻农牧业开发有限公司</t>
  </si>
  <si>
    <t>91150621MA0NEU1D9M</t>
  </si>
  <si>
    <t>内蒙古众鑫财务代理有限公司</t>
  </si>
  <si>
    <t>91150621MA0ND4J43C</t>
  </si>
  <si>
    <t>鄂尔多斯市鹏丰机械租赁有限公司</t>
  </si>
  <si>
    <t>91150621MA13P71K70</t>
  </si>
  <si>
    <t>达拉特旗社会组织服务中心</t>
  </si>
  <si>
    <t>52150621MJ2489945C</t>
  </si>
  <si>
    <t>达拉特旗长河科技有限公司</t>
  </si>
  <si>
    <t>91150621MA13PKEG2X</t>
  </si>
  <si>
    <t>内蒙古金朔交通设施有限公司</t>
  </si>
  <si>
    <t>91150621MA13N4JE3H</t>
  </si>
  <si>
    <t>鄂尔多斯市达拉特旗学智职业培训学校</t>
  </si>
  <si>
    <t>52150621MJY550898W</t>
  </si>
  <si>
    <t>鄂尔多斯市兴达阳光文化旅游有限责任公司</t>
  </si>
  <si>
    <t>鄂尔多斯市恩格贝沙漠生态旅游文化有限责任公司</t>
  </si>
  <si>
    <t>内蒙古纳兰商贸有限公司</t>
  </si>
  <si>
    <t>91150621MA13PBTU86</t>
  </si>
  <si>
    <t>内蒙古泡泡龙文化传媒有限责任公司</t>
  </si>
  <si>
    <t>91150621MA0NBN4KXF</t>
  </si>
  <si>
    <t>鄂尔多斯市浩康商贸有限责任公司</t>
  </si>
  <si>
    <t>9115062156416596XH</t>
  </si>
  <si>
    <t>内蒙古图丹会计师事务所（普通合伙）</t>
  </si>
  <si>
    <t>91150203MA0Q48N866</t>
  </si>
  <si>
    <t>达拉特旗千猫汽车美容装饰用品店</t>
  </si>
  <si>
    <t>92150621MA7YQB7H69</t>
  </si>
  <si>
    <t>鄂尔多斯市瑞宏能源科技有限公司</t>
  </si>
  <si>
    <t>91150621MA0RRE2R0T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</si>
</sst>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19">
    <font>
      <sz val="11"/>
      <color theme="1"/>
      <name val="宋体"/>
      <charset val="134"/>
      <scheme val="minor"/>
    </font>
    <font>
      <b/>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 fillId="0" borderId="8"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18" fillId="32" borderId="0" applyNumberFormat="0" applyBorder="0" applyAlignment="0" applyProtection="0">
      <alignment vertical="center"/>
    </xf>
  </cellStyleXfs>
  <cellXfs count="4">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0" fillId="0" borderId="0"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9"/>
  <sheetViews>
    <sheetView tabSelected="1" workbookViewId="0">
      <selection activeCell="K10" sqref="K10"/>
    </sheetView>
  </sheetViews>
  <sheetFormatPr defaultColWidth="8.88333333333333" defaultRowHeight="13.5"/>
  <cols>
    <col min="13" max="13" width="16.6666666666667" customWidth="1"/>
  </cols>
  <sheetData>
    <row r="1" spans="1:15">
      <c r="A1" s="1" t="s">
        <v>0</v>
      </c>
      <c r="B1" s="2"/>
      <c r="C1" s="2"/>
      <c r="D1" s="2"/>
      <c r="E1" s="2"/>
      <c r="F1" s="2"/>
      <c r="G1" s="2"/>
      <c r="H1" s="2"/>
      <c r="I1" s="2"/>
      <c r="J1" s="2"/>
      <c r="K1" s="2"/>
      <c r="L1" s="2"/>
      <c r="M1" s="2"/>
      <c r="N1" s="2"/>
      <c r="O1" s="2"/>
    </row>
    <row r="2" spans="1:15">
      <c r="A2" s="3" t="s">
        <v>1</v>
      </c>
      <c r="B2" s="3" t="s">
        <v>2</v>
      </c>
      <c r="C2" s="3" t="s">
        <v>3</v>
      </c>
      <c r="D2" s="3" t="s">
        <v>4</v>
      </c>
      <c r="E2" s="3" t="s">
        <v>5</v>
      </c>
      <c r="F2" s="3" t="s">
        <v>6</v>
      </c>
      <c r="G2" s="3" t="s">
        <v>7</v>
      </c>
      <c r="H2" s="3" t="s">
        <v>8</v>
      </c>
      <c r="I2" s="3" t="s">
        <v>9</v>
      </c>
      <c r="J2" s="3" t="s">
        <v>10</v>
      </c>
      <c r="K2" s="3" t="s">
        <v>11</v>
      </c>
      <c r="L2" s="3" t="s">
        <v>12</v>
      </c>
      <c r="M2" s="3" t="s">
        <v>13</v>
      </c>
      <c r="N2" s="3" t="s">
        <v>14</v>
      </c>
      <c r="O2" s="3"/>
    </row>
    <row r="3" spans="1:15">
      <c r="A3" s="3" t="str">
        <f>"66259100443783"</f>
        <v>66259100443783</v>
      </c>
      <c r="B3" s="3" t="s">
        <v>15</v>
      </c>
      <c r="C3" s="3" t="s">
        <v>16</v>
      </c>
      <c r="D3" s="3" t="str">
        <f t="shared" ref="D3:I3" si="0">"0"</f>
        <v>0</v>
      </c>
      <c r="E3" s="3" t="s">
        <v>17</v>
      </c>
      <c r="F3" s="3" t="s">
        <v>17</v>
      </c>
      <c r="G3" s="3" t="s">
        <v>18</v>
      </c>
      <c r="H3" s="3" t="str">
        <f t="shared" si="0"/>
        <v>0</v>
      </c>
      <c r="I3" s="3" t="str">
        <f t="shared" si="0"/>
        <v>0</v>
      </c>
      <c r="J3" s="3" t="str">
        <f>"21"</f>
        <v>21</v>
      </c>
      <c r="K3" s="3" t="str">
        <f>"34176.04"</f>
        <v>34176.04</v>
      </c>
      <c r="L3" s="3" t="str">
        <f>"20505.62"</f>
        <v>20505.62</v>
      </c>
      <c r="M3" s="3" t="str">
        <f t="shared" ref="M3:M66" si="1">"20240516"</f>
        <v>20240516</v>
      </c>
      <c r="N3" s="3" t="s">
        <v>19</v>
      </c>
      <c r="O3" s="3"/>
    </row>
    <row r="4" spans="1:15">
      <c r="A4" s="3" t="str">
        <f>"66259100369146"</f>
        <v>66259100369146</v>
      </c>
      <c r="B4" s="3" t="s">
        <v>20</v>
      </c>
      <c r="C4" s="3" t="s">
        <v>16</v>
      </c>
      <c r="D4" s="3" t="str">
        <f t="shared" ref="D4:I4" si="2">"0"</f>
        <v>0</v>
      </c>
      <c r="E4" s="3" t="s">
        <v>17</v>
      </c>
      <c r="F4" s="3" t="s">
        <v>17</v>
      </c>
      <c r="G4" s="3" t="s">
        <v>18</v>
      </c>
      <c r="H4" s="3" t="str">
        <f t="shared" si="2"/>
        <v>0</v>
      </c>
      <c r="I4" s="3" t="str">
        <f t="shared" si="2"/>
        <v>0</v>
      </c>
      <c r="J4" s="3" t="str">
        <f>"17"</f>
        <v>17</v>
      </c>
      <c r="K4" s="3" t="str">
        <f>"9636.3"</f>
        <v>9636.3</v>
      </c>
      <c r="L4" s="3" t="str">
        <f>"5781.78"</f>
        <v>5781.78</v>
      </c>
      <c r="M4" s="3" t="str">
        <f t="shared" si="1"/>
        <v>20240516</v>
      </c>
      <c r="N4" s="3" t="s">
        <v>21</v>
      </c>
      <c r="O4" s="3"/>
    </row>
    <row r="5" spans="1:15">
      <c r="A5" s="3" t="str">
        <f>"662013281"</f>
        <v>662013281</v>
      </c>
      <c r="B5" s="3" t="s">
        <v>22</v>
      </c>
      <c r="C5" s="3"/>
      <c r="D5" s="3" t="str">
        <f t="shared" ref="D5:I5" si="3">"0"</f>
        <v>0</v>
      </c>
      <c r="E5" s="3" t="s">
        <v>17</v>
      </c>
      <c r="F5" s="3" t="s">
        <v>17</v>
      </c>
      <c r="G5" s="3" t="s">
        <v>16</v>
      </c>
      <c r="H5" s="3" t="str">
        <f t="shared" si="3"/>
        <v>0</v>
      </c>
      <c r="I5" s="3" t="str">
        <f t="shared" si="3"/>
        <v>0</v>
      </c>
      <c r="J5" s="3" t="str">
        <f t="shared" ref="J5:J10" si="4">"2"</f>
        <v>2</v>
      </c>
      <c r="K5" s="3" t="str">
        <f>"1587.48"</f>
        <v>1587.48</v>
      </c>
      <c r="L5" s="3" t="str">
        <f>"476.24"</f>
        <v>476.24</v>
      </c>
      <c r="M5" s="3" t="str">
        <f t="shared" si="1"/>
        <v>20240516</v>
      </c>
      <c r="N5" s="3" t="s">
        <v>23</v>
      </c>
      <c r="O5" s="3"/>
    </row>
    <row r="6" spans="1:15">
      <c r="A6" s="3" t="str">
        <f>"662013232"</f>
        <v>662013232</v>
      </c>
      <c r="B6" s="3" t="s">
        <v>24</v>
      </c>
      <c r="C6" s="3"/>
      <c r="D6" s="3" t="str">
        <f t="shared" ref="D6:I6" si="5">"0"</f>
        <v>0</v>
      </c>
      <c r="E6" s="3" t="s">
        <v>17</v>
      </c>
      <c r="F6" s="3" t="s">
        <v>17</v>
      </c>
      <c r="G6" s="3" t="s">
        <v>25</v>
      </c>
      <c r="H6" s="3" t="str">
        <f t="shared" si="5"/>
        <v>0</v>
      </c>
      <c r="I6" s="3" t="str">
        <f t="shared" si="5"/>
        <v>0</v>
      </c>
      <c r="J6" s="3" t="str">
        <f t="shared" si="4"/>
        <v>2</v>
      </c>
      <c r="K6" s="3" t="str">
        <f>"1098"</f>
        <v>1098</v>
      </c>
      <c r="L6" s="3" t="str">
        <f>"658.8"</f>
        <v>658.8</v>
      </c>
      <c r="M6" s="3" t="str">
        <f t="shared" si="1"/>
        <v>20240516</v>
      </c>
      <c r="N6" s="3" t="s">
        <v>26</v>
      </c>
      <c r="O6" s="3"/>
    </row>
    <row r="7" spans="1:15">
      <c r="A7" s="3" t="str">
        <f>"662013178"</f>
        <v>662013178</v>
      </c>
      <c r="B7" s="3" t="s">
        <v>27</v>
      </c>
      <c r="C7" s="3" t="s">
        <v>16</v>
      </c>
      <c r="D7" s="3" t="str">
        <f t="shared" ref="D7:I7" si="6">"0"</f>
        <v>0</v>
      </c>
      <c r="E7" s="3" t="s">
        <v>17</v>
      </c>
      <c r="F7" s="3" t="s">
        <v>17</v>
      </c>
      <c r="G7" s="3" t="s">
        <v>18</v>
      </c>
      <c r="H7" s="3" t="str">
        <f t="shared" si="6"/>
        <v>0</v>
      </c>
      <c r="I7" s="3" t="str">
        <f t="shared" si="6"/>
        <v>0</v>
      </c>
      <c r="J7" s="3" t="str">
        <f>"59"</f>
        <v>59</v>
      </c>
      <c r="K7" s="3" t="str">
        <f>"40007.06"</f>
        <v>40007.06</v>
      </c>
      <c r="L7" s="3" t="str">
        <f>"24004.24"</f>
        <v>24004.24</v>
      </c>
      <c r="M7" s="3" t="str">
        <f t="shared" si="1"/>
        <v>20240516</v>
      </c>
      <c r="N7" s="3" t="str">
        <f>"911506217794632513"</f>
        <v>911506217794632513</v>
      </c>
      <c r="O7" s="3"/>
    </row>
    <row r="8" spans="1:15">
      <c r="A8" s="3" t="str">
        <f>"661506219985900"</f>
        <v>661506219985900</v>
      </c>
      <c r="B8" s="3" t="s">
        <v>28</v>
      </c>
      <c r="C8" s="3"/>
      <c r="D8" s="3" t="str">
        <f t="shared" ref="D8:I8" si="7">"0"</f>
        <v>0</v>
      </c>
      <c r="E8" s="3" t="s">
        <v>17</v>
      </c>
      <c r="F8" s="3" t="s">
        <v>17</v>
      </c>
      <c r="G8" s="3" t="s">
        <v>18</v>
      </c>
      <c r="H8" s="3" t="str">
        <f t="shared" si="7"/>
        <v>0</v>
      </c>
      <c r="I8" s="3" t="str">
        <f t="shared" si="7"/>
        <v>0</v>
      </c>
      <c r="J8" s="3" t="str">
        <f>"11"</f>
        <v>11</v>
      </c>
      <c r="K8" s="3" t="str">
        <f>"10240.32"</f>
        <v>10240.32</v>
      </c>
      <c r="L8" s="3" t="str">
        <f>"6144.19"</f>
        <v>6144.19</v>
      </c>
      <c r="M8" s="3" t="str">
        <f t="shared" si="1"/>
        <v>20240516</v>
      </c>
      <c r="N8" s="3" t="s">
        <v>29</v>
      </c>
      <c r="O8" s="3"/>
    </row>
    <row r="9" spans="1:15">
      <c r="A9" s="3" t="str">
        <f>"661506219954600"</f>
        <v>661506219954600</v>
      </c>
      <c r="B9" s="3" t="s">
        <v>30</v>
      </c>
      <c r="C9" s="3" t="s">
        <v>16</v>
      </c>
      <c r="D9" s="3">
        <v>0.17</v>
      </c>
      <c r="E9" s="3" t="s">
        <v>17</v>
      </c>
      <c r="F9" s="3" t="s">
        <v>17</v>
      </c>
      <c r="G9" s="3" t="s">
        <v>25</v>
      </c>
      <c r="H9" s="3" t="str">
        <f>"0"</f>
        <v>0</v>
      </c>
      <c r="I9" s="3" t="str">
        <f>"0"</f>
        <v>0</v>
      </c>
      <c r="J9" s="3" t="str">
        <f>"6"</f>
        <v>6</v>
      </c>
      <c r="K9" s="3" t="str">
        <f>"3451.14"</f>
        <v>3451.14</v>
      </c>
      <c r="L9" s="3" t="str">
        <f>"2070.68"</f>
        <v>2070.68</v>
      </c>
      <c r="M9" s="3" t="str">
        <f t="shared" si="1"/>
        <v>20240516</v>
      </c>
      <c r="N9" s="3" t="s">
        <v>31</v>
      </c>
      <c r="O9" s="3"/>
    </row>
    <row r="10" spans="1:15">
      <c r="A10" s="3" t="str">
        <f>"661506219950900"</f>
        <v>661506219950900</v>
      </c>
      <c r="B10" s="3" t="s">
        <v>32</v>
      </c>
      <c r="C10" s="3" t="s">
        <v>16</v>
      </c>
      <c r="D10" s="3" t="str">
        <f t="shared" ref="D10:I10" si="8">"0"</f>
        <v>0</v>
      </c>
      <c r="E10" s="3" t="s">
        <v>17</v>
      </c>
      <c r="F10" s="3" t="s">
        <v>17</v>
      </c>
      <c r="G10" s="3" t="s">
        <v>25</v>
      </c>
      <c r="H10" s="3" t="str">
        <f t="shared" si="8"/>
        <v>0</v>
      </c>
      <c r="I10" s="3" t="str">
        <f t="shared" si="8"/>
        <v>0</v>
      </c>
      <c r="J10" s="3" t="str">
        <f t="shared" si="4"/>
        <v>2</v>
      </c>
      <c r="K10" s="3" t="str">
        <f>"1432.66"</f>
        <v>1432.66</v>
      </c>
      <c r="L10" s="3" t="str">
        <f>"859.6"</f>
        <v>859.6</v>
      </c>
      <c r="M10" s="3" t="str">
        <f t="shared" si="1"/>
        <v>20240516</v>
      </c>
      <c r="N10" s="3" t="s">
        <v>33</v>
      </c>
      <c r="O10" s="3"/>
    </row>
    <row r="11" spans="1:15">
      <c r="A11" s="3" t="str">
        <f>"661506219948600"</f>
        <v>661506219948600</v>
      </c>
      <c r="B11" s="3" t="s">
        <v>34</v>
      </c>
      <c r="C11" s="3" t="s">
        <v>16</v>
      </c>
      <c r="D11" s="3" t="str">
        <f t="shared" ref="D11:I11" si="9">"0"</f>
        <v>0</v>
      </c>
      <c r="E11" s="3" t="s">
        <v>17</v>
      </c>
      <c r="F11" s="3" t="s">
        <v>17</v>
      </c>
      <c r="G11" s="3" t="s">
        <v>25</v>
      </c>
      <c r="H11" s="3" t="str">
        <f t="shared" si="9"/>
        <v>0</v>
      </c>
      <c r="I11" s="3" t="str">
        <f t="shared" si="9"/>
        <v>0</v>
      </c>
      <c r="J11" s="3" t="str">
        <f>"17"</f>
        <v>17</v>
      </c>
      <c r="K11" s="3" t="str">
        <f>"10053.2"</f>
        <v>10053.2</v>
      </c>
      <c r="L11" s="3" t="str">
        <f>"6031.92"</f>
        <v>6031.92</v>
      </c>
      <c r="M11" s="3" t="str">
        <f t="shared" si="1"/>
        <v>20240516</v>
      </c>
      <c r="N11" s="3" t="s">
        <v>35</v>
      </c>
      <c r="O11" s="3"/>
    </row>
    <row r="12" spans="1:15">
      <c r="A12" s="3" t="str">
        <f>"661506219944600"</f>
        <v>661506219944600</v>
      </c>
      <c r="B12" s="3" t="s">
        <v>36</v>
      </c>
      <c r="C12" s="3" t="s">
        <v>16</v>
      </c>
      <c r="D12" s="3" t="str">
        <f t="shared" ref="D12:I12" si="10">"0"</f>
        <v>0</v>
      </c>
      <c r="E12" s="3" t="s">
        <v>17</v>
      </c>
      <c r="F12" s="3" t="s">
        <v>17</v>
      </c>
      <c r="G12" s="3" t="s">
        <v>25</v>
      </c>
      <c r="H12" s="3" t="str">
        <f t="shared" si="10"/>
        <v>0</v>
      </c>
      <c r="I12" s="3" t="str">
        <f t="shared" si="10"/>
        <v>0</v>
      </c>
      <c r="J12" s="3" t="str">
        <f t="shared" ref="J12:J14" si="11">"2"</f>
        <v>2</v>
      </c>
      <c r="K12" s="3" t="str">
        <f>"1137.84"</f>
        <v>1137.84</v>
      </c>
      <c r="L12" s="3" t="str">
        <f>"682.7"</f>
        <v>682.7</v>
      </c>
      <c r="M12" s="3" t="str">
        <f t="shared" si="1"/>
        <v>20240516</v>
      </c>
      <c r="N12" s="3" t="s">
        <v>37</v>
      </c>
      <c r="O12" s="3"/>
    </row>
    <row r="13" spans="1:15">
      <c r="A13" s="3" t="str">
        <f>"661506219940100"</f>
        <v>661506219940100</v>
      </c>
      <c r="B13" s="3" t="s">
        <v>38</v>
      </c>
      <c r="C13" s="3" t="s">
        <v>16</v>
      </c>
      <c r="D13" s="3" t="str">
        <f t="shared" ref="D13:I13" si="12">"0"</f>
        <v>0</v>
      </c>
      <c r="E13" s="3" t="s">
        <v>17</v>
      </c>
      <c r="F13" s="3" t="s">
        <v>17</v>
      </c>
      <c r="G13" s="3" t="s">
        <v>25</v>
      </c>
      <c r="H13" s="3" t="str">
        <f t="shared" si="12"/>
        <v>0</v>
      </c>
      <c r="I13" s="3" t="str">
        <f t="shared" si="12"/>
        <v>0</v>
      </c>
      <c r="J13" s="3" t="str">
        <f t="shared" si="11"/>
        <v>2</v>
      </c>
      <c r="K13" s="3" t="str">
        <f>"1452"</f>
        <v>1452</v>
      </c>
      <c r="L13" s="3" t="str">
        <f>"871.2"</f>
        <v>871.2</v>
      </c>
      <c r="M13" s="3" t="str">
        <f t="shared" si="1"/>
        <v>20240516</v>
      </c>
      <c r="N13" s="3" t="s">
        <v>39</v>
      </c>
      <c r="O13" s="3"/>
    </row>
    <row r="14" spans="1:15">
      <c r="A14" s="3" t="str">
        <f>"661506219938500"</f>
        <v>661506219938500</v>
      </c>
      <c r="B14" s="3" t="s">
        <v>40</v>
      </c>
      <c r="C14" s="3" t="s">
        <v>16</v>
      </c>
      <c r="D14" s="3" t="str">
        <f t="shared" ref="D14:I14" si="13">"0"</f>
        <v>0</v>
      </c>
      <c r="E14" s="3" t="s">
        <v>17</v>
      </c>
      <c r="F14" s="3" t="s">
        <v>17</v>
      </c>
      <c r="G14" s="3" t="s">
        <v>25</v>
      </c>
      <c r="H14" s="3" t="str">
        <f t="shared" si="13"/>
        <v>0</v>
      </c>
      <c r="I14" s="3" t="str">
        <f t="shared" si="13"/>
        <v>0</v>
      </c>
      <c r="J14" s="3" t="str">
        <f t="shared" si="11"/>
        <v>2</v>
      </c>
      <c r="K14" s="3" t="str">
        <f>"1075.68"</f>
        <v>1075.68</v>
      </c>
      <c r="L14" s="3" t="str">
        <f>"645.41"</f>
        <v>645.41</v>
      </c>
      <c r="M14" s="3" t="str">
        <f t="shared" si="1"/>
        <v>20240516</v>
      </c>
      <c r="N14" s="3" t="s">
        <v>41</v>
      </c>
      <c r="O14" s="3"/>
    </row>
    <row r="15" spans="1:15">
      <c r="A15" s="3" t="str">
        <f>"661506219922600"</f>
        <v>661506219922600</v>
      </c>
      <c r="B15" s="3" t="s">
        <v>42</v>
      </c>
      <c r="C15" s="3" t="s">
        <v>16</v>
      </c>
      <c r="D15" s="3" t="str">
        <f t="shared" ref="D15:I15" si="14">"0"</f>
        <v>0</v>
      </c>
      <c r="E15" s="3" t="s">
        <v>17</v>
      </c>
      <c r="F15" s="3" t="s">
        <v>17</v>
      </c>
      <c r="G15" s="3" t="s">
        <v>25</v>
      </c>
      <c r="H15" s="3" t="str">
        <f t="shared" si="14"/>
        <v>0</v>
      </c>
      <c r="I15" s="3" t="str">
        <f t="shared" si="14"/>
        <v>0</v>
      </c>
      <c r="J15" s="3" t="str">
        <f>"3"</f>
        <v>3</v>
      </c>
      <c r="K15" s="3" t="str">
        <f>"2096.4"</f>
        <v>2096.4</v>
      </c>
      <c r="L15" s="3" t="str">
        <f>"1257.84"</f>
        <v>1257.84</v>
      </c>
      <c r="M15" s="3" t="str">
        <f t="shared" si="1"/>
        <v>20240516</v>
      </c>
      <c r="N15" s="3" t="s">
        <v>43</v>
      </c>
      <c r="O15" s="3"/>
    </row>
    <row r="16" spans="1:15">
      <c r="A16" s="3" t="str">
        <f>"661506219910400"</f>
        <v>661506219910400</v>
      </c>
      <c r="B16" s="3" t="s">
        <v>44</v>
      </c>
      <c r="C16" s="3" t="s">
        <v>16</v>
      </c>
      <c r="D16" s="3" t="str">
        <f t="shared" ref="D16:I16" si="15">"0"</f>
        <v>0</v>
      </c>
      <c r="E16" s="3" t="s">
        <v>17</v>
      </c>
      <c r="F16" s="3" t="s">
        <v>17</v>
      </c>
      <c r="G16" s="3" t="s">
        <v>25</v>
      </c>
      <c r="H16" s="3" t="str">
        <f t="shared" si="15"/>
        <v>0</v>
      </c>
      <c r="I16" s="3" t="str">
        <f t="shared" si="15"/>
        <v>0</v>
      </c>
      <c r="J16" s="3" t="str">
        <f>"1"</f>
        <v>1</v>
      </c>
      <c r="K16" s="3" t="str">
        <f>"1276"</f>
        <v>1276</v>
      </c>
      <c r="L16" s="3" t="str">
        <f>"765.6"</f>
        <v>765.6</v>
      </c>
      <c r="M16" s="3" t="str">
        <f t="shared" si="1"/>
        <v>20240516</v>
      </c>
      <c r="N16" s="3" t="s">
        <v>45</v>
      </c>
      <c r="O16" s="3"/>
    </row>
    <row r="17" spans="1:15">
      <c r="A17" s="3" t="str">
        <f>"661506219908400"</f>
        <v>661506219908400</v>
      </c>
      <c r="B17" s="3" t="s">
        <v>46</v>
      </c>
      <c r="C17" s="3" t="s">
        <v>16</v>
      </c>
      <c r="D17" s="3" t="str">
        <f t="shared" ref="D17:I17" si="16">"0"</f>
        <v>0</v>
      </c>
      <c r="E17" s="3" t="s">
        <v>17</v>
      </c>
      <c r="F17" s="3" t="s">
        <v>17</v>
      </c>
      <c r="G17" s="3" t="s">
        <v>18</v>
      </c>
      <c r="H17" s="3" t="str">
        <f t="shared" si="16"/>
        <v>0</v>
      </c>
      <c r="I17" s="3" t="str">
        <f t="shared" si="16"/>
        <v>0</v>
      </c>
      <c r="J17" s="3" t="str">
        <f t="shared" ref="J17:J22" si="17">"2"</f>
        <v>2</v>
      </c>
      <c r="K17" s="3" t="str">
        <f>"1075.68"</f>
        <v>1075.68</v>
      </c>
      <c r="L17" s="3" t="str">
        <f>"645.41"</f>
        <v>645.41</v>
      </c>
      <c r="M17" s="3" t="str">
        <f t="shared" si="1"/>
        <v>20240516</v>
      </c>
      <c r="N17" s="3" t="s">
        <v>47</v>
      </c>
      <c r="O17" s="3"/>
    </row>
    <row r="18" spans="1:15">
      <c r="A18" s="3" t="str">
        <f>"661506219904400"</f>
        <v>661506219904400</v>
      </c>
      <c r="B18" s="3" t="s">
        <v>48</v>
      </c>
      <c r="C18" s="3" t="s">
        <v>16</v>
      </c>
      <c r="D18" s="3" t="str">
        <f t="shared" ref="D18:I18" si="18">"0"</f>
        <v>0</v>
      </c>
      <c r="E18" s="3" t="s">
        <v>17</v>
      </c>
      <c r="F18" s="3" t="s">
        <v>17</v>
      </c>
      <c r="G18" s="3" t="s">
        <v>25</v>
      </c>
      <c r="H18" s="3" t="str">
        <f t="shared" si="18"/>
        <v>0</v>
      </c>
      <c r="I18" s="3" t="str">
        <f t="shared" si="18"/>
        <v>0</v>
      </c>
      <c r="J18" s="3" t="str">
        <f>"8"</f>
        <v>8</v>
      </c>
      <c r="K18" s="3" t="str">
        <f>"5875.68"</f>
        <v>5875.68</v>
      </c>
      <c r="L18" s="3" t="str">
        <f>"3525.41"</f>
        <v>3525.41</v>
      </c>
      <c r="M18" s="3" t="str">
        <f t="shared" si="1"/>
        <v>20240516</v>
      </c>
      <c r="N18" s="3" t="s">
        <v>49</v>
      </c>
      <c r="O18" s="3"/>
    </row>
    <row r="19" spans="1:15">
      <c r="A19" s="3" t="str">
        <f>"661506219900400"</f>
        <v>661506219900400</v>
      </c>
      <c r="B19" s="3" t="s">
        <v>50</v>
      </c>
      <c r="C19" s="3" t="s">
        <v>16</v>
      </c>
      <c r="D19" s="3" t="str">
        <f t="shared" ref="D19:I19" si="19">"0"</f>
        <v>0</v>
      </c>
      <c r="E19" s="3" t="s">
        <v>17</v>
      </c>
      <c r="F19" s="3" t="s">
        <v>17</v>
      </c>
      <c r="G19" s="3" t="s">
        <v>25</v>
      </c>
      <c r="H19" s="3" t="str">
        <f t="shared" si="19"/>
        <v>0</v>
      </c>
      <c r="I19" s="3" t="str">
        <f t="shared" si="19"/>
        <v>0</v>
      </c>
      <c r="J19" s="3" t="str">
        <f t="shared" si="17"/>
        <v>2</v>
      </c>
      <c r="K19" s="3" t="str">
        <f>"1210.14"</f>
        <v>1210.14</v>
      </c>
      <c r="L19" s="3" t="str">
        <f>"726.08"</f>
        <v>726.08</v>
      </c>
      <c r="M19" s="3" t="str">
        <f t="shared" si="1"/>
        <v>20240516</v>
      </c>
      <c r="N19" s="3" t="s">
        <v>51</v>
      </c>
      <c r="O19" s="3"/>
    </row>
    <row r="20" spans="1:15">
      <c r="A20" s="3" t="str">
        <f>"661506219896400"</f>
        <v>661506219896400</v>
      </c>
      <c r="B20" s="3" t="s">
        <v>52</v>
      </c>
      <c r="C20" s="3" t="s">
        <v>16</v>
      </c>
      <c r="D20" s="3" t="str">
        <f t="shared" ref="D20:I20" si="20">"0"</f>
        <v>0</v>
      </c>
      <c r="E20" s="3" t="s">
        <v>17</v>
      </c>
      <c r="F20" s="3" t="s">
        <v>17</v>
      </c>
      <c r="G20" s="3" t="s">
        <v>25</v>
      </c>
      <c r="H20" s="3" t="str">
        <f t="shared" si="20"/>
        <v>0</v>
      </c>
      <c r="I20" s="3" t="str">
        <f t="shared" si="20"/>
        <v>0</v>
      </c>
      <c r="J20" s="3" t="str">
        <f>"13"</f>
        <v>13</v>
      </c>
      <c r="K20" s="3" t="str">
        <f>"7126.38"</f>
        <v>7126.38</v>
      </c>
      <c r="L20" s="3" t="str">
        <f>"4275.83"</f>
        <v>4275.83</v>
      </c>
      <c r="M20" s="3" t="str">
        <f t="shared" si="1"/>
        <v>20240516</v>
      </c>
      <c r="N20" s="3" t="s">
        <v>53</v>
      </c>
      <c r="O20" s="3"/>
    </row>
    <row r="21" spans="1:15">
      <c r="A21" s="3" t="str">
        <f>"661506219890400"</f>
        <v>661506219890400</v>
      </c>
      <c r="B21" s="3" t="s">
        <v>54</v>
      </c>
      <c r="C21" s="3" t="s">
        <v>16</v>
      </c>
      <c r="D21" s="3" t="str">
        <f t="shared" ref="D21:I21" si="21">"0"</f>
        <v>0</v>
      </c>
      <c r="E21" s="3" t="s">
        <v>17</v>
      </c>
      <c r="F21" s="3" t="s">
        <v>17</v>
      </c>
      <c r="G21" s="3" t="s">
        <v>25</v>
      </c>
      <c r="H21" s="3" t="str">
        <f t="shared" si="21"/>
        <v>0</v>
      </c>
      <c r="I21" s="3" t="str">
        <f t="shared" si="21"/>
        <v>0</v>
      </c>
      <c r="J21" s="3" t="str">
        <f t="shared" ref="J21:J26" si="22">"3"</f>
        <v>3</v>
      </c>
      <c r="K21" s="3" t="str">
        <f>"1835.68"</f>
        <v>1835.68</v>
      </c>
      <c r="L21" s="3" t="str">
        <f>"1101.41"</f>
        <v>1101.41</v>
      </c>
      <c r="M21" s="3" t="str">
        <f t="shared" si="1"/>
        <v>20240516</v>
      </c>
      <c r="N21" s="3" t="s">
        <v>55</v>
      </c>
      <c r="O21" s="3"/>
    </row>
    <row r="22" spans="1:15">
      <c r="A22" s="3" t="str">
        <f>"661506219876600"</f>
        <v>661506219876600</v>
      </c>
      <c r="B22" s="3" t="s">
        <v>56</v>
      </c>
      <c r="C22" s="3"/>
      <c r="D22" s="3" t="str">
        <f t="shared" ref="D22:I22" si="23">"0"</f>
        <v>0</v>
      </c>
      <c r="E22" s="3" t="s">
        <v>17</v>
      </c>
      <c r="F22" s="3" t="s">
        <v>17</v>
      </c>
      <c r="G22" s="3" t="s">
        <v>25</v>
      </c>
      <c r="H22" s="3" t="str">
        <f t="shared" si="23"/>
        <v>0</v>
      </c>
      <c r="I22" s="3" t="str">
        <f t="shared" si="23"/>
        <v>0</v>
      </c>
      <c r="J22" s="3" t="str">
        <f t="shared" si="17"/>
        <v>2</v>
      </c>
      <c r="K22" s="3" t="str">
        <f>"1541.22"</f>
        <v>1541.22</v>
      </c>
      <c r="L22" s="3" t="str">
        <f>"924.73"</f>
        <v>924.73</v>
      </c>
      <c r="M22" s="3" t="str">
        <f t="shared" si="1"/>
        <v>20240516</v>
      </c>
      <c r="N22" s="3" t="s">
        <v>57</v>
      </c>
      <c r="O22" s="3"/>
    </row>
    <row r="23" spans="1:15">
      <c r="A23" s="3" t="str">
        <f>"661506219872600"</f>
        <v>661506219872600</v>
      </c>
      <c r="B23" s="3" t="s">
        <v>58</v>
      </c>
      <c r="C23" s="3" t="s">
        <v>16</v>
      </c>
      <c r="D23" s="3" t="str">
        <f>"0"</f>
        <v>0</v>
      </c>
      <c r="E23" s="3" t="s">
        <v>17</v>
      </c>
      <c r="F23" s="3" t="s">
        <v>17</v>
      </c>
      <c r="G23" s="3" t="s">
        <v>25</v>
      </c>
      <c r="H23" s="3"/>
      <c r="I23" s="3"/>
      <c r="J23" s="3" t="str">
        <f t="shared" si="22"/>
        <v>3</v>
      </c>
      <c r="K23" s="3" t="str">
        <f>"1656.48"</f>
        <v>1656.48</v>
      </c>
      <c r="L23" s="3" t="str">
        <f>"993.89"</f>
        <v>993.89</v>
      </c>
      <c r="M23" s="3" t="str">
        <f t="shared" si="1"/>
        <v>20240516</v>
      </c>
      <c r="N23" s="3" t="s">
        <v>59</v>
      </c>
      <c r="O23" s="3"/>
    </row>
    <row r="24" spans="1:15">
      <c r="A24" s="3" t="str">
        <f>"661506219870500"</f>
        <v>661506219870500</v>
      </c>
      <c r="B24" s="3" t="s">
        <v>60</v>
      </c>
      <c r="C24" s="3"/>
      <c r="D24" s="3" t="str">
        <f t="shared" ref="D24:I24" si="24">"0"</f>
        <v>0</v>
      </c>
      <c r="E24" s="3" t="s">
        <v>17</v>
      </c>
      <c r="F24" s="3" t="s">
        <v>17</v>
      </c>
      <c r="G24" s="3" t="s">
        <v>25</v>
      </c>
      <c r="H24" s="3" t="str">
        <f t="shared" si="24"/>
        <v>0</v>
      </c>
      <c r="I24" s="3" t="str">
        <f t="shared" si="24"/>
        <v>0</v>
      </c>
      <c r="J24" s="3" t="str">
        <f>"7"</f>
        <v>7</v>
      </c>
      <c r="K24" s="3" t="str">
        <f>"3764.88"</f>
        <v>3764.88</v>
      </c>
      <c r="L24" s="3" t="str">
        <f>"2258.93"</f>
        <v>2258.93</v>
      </c>
      <c r="M24" s="3" t="str">
        <f t="shared" si="1"/>
        <v>20240516</v>
      </c>
      <c r="N24" s="3" t="s">
        <v>61</v>
      </c>
      <c r="O24" s="3"/>
    </row>
    <row r="25" spans="1:15">
      <c r="A25" s="3" t="str">
        <f>"661506219808600"</f>
        <v>661506219808600</v>
      </c>
      <c r="B25" s="3" t="s">
        <v>62</v>
      </c>
      <c r="C25" s="3" t="s">
        <v>16</v>
      </c>
      <c r="D25" s="3" t="str">
        <f t="shared" ref="D25:I25" si="25">"0"</f>
        <v>0</v>
      </c>
      <c r="E25" s="3" t="s">
        <v>17</v>
      </c>
      <c r="F25" s="3" t="s">
        <v>17</v>
      </c>
      <c r="G25" s="3" t="s">
        <v>25</v>
      </c>
      <c r="H25" s="3" t="str">
        <f t="shared" si="25"/>
        <v>0</v>
      </c>
      <c r="I25" s="3" t="str">
        <f t="shared" si="25"/>
        <v>0</v>
      </c>
      <c r="J25" s="3" t="str">
        <f>"8"</f>
        <v>8</v>
      </c>
      <c r="K25" s="3" t="str">
        <f>"4347.54"</f>
        <v>4347.54</v>
      </c>
      <c r="L25" s="3" t="str">
        <f>"2608.52"</f>
        <v>2608.52</v>
      </c>
      <c r="M25" s="3" t="str">
        <f t="shared" si="1"/>
        <v>20240516</v>
      </c>
      <c r="N25" s="3" t="s">
        <v>63</v>
      </c>
      <c r="O25" s="3"/>
    </row>
    <row r="26" spans="1:15">
      <c r="A26" s="3" t="str">
        <f>"661506219793200"</f>
        <v>661506219793200</v>
      </c>
      <c r="B26" s="3" t="s">
        <v>64</v>
      </c>
      <c r="C26" s="3" t="s">
        <v>16</v>
      </c>
      <c r="D26" s="3" t="str">
        <f t="shared" ref="D26:I26" si="26">"0"</f>
        <v>0</v>
      </c>
      <c r="E26" s="3" t="s">
        <v>17</v>
      </c>
      <c r="F26" s="3" t="s">
        <v>17</v>
      </c>
      <c r="G26" s="3" t="s">
        <v>25</v>
      </c>
      <c r="H26" s="3" t="str">
        <f t="shared" si="26"/>
        <v>0</v>
      </c>
      <c r="I26" s="3" t="str">
        <f t="shared" si="26"/>
        <v>0</v>
      </c>
      <c r="J26" s="3" t="str">
        <f t="shared" si="22"/>
        <v>3</v>
      </c>
      <c r="K26" s="3" t="str">
        <f>"2192.14"</f>
        <v>2192.14</v>
      </c>
      <c r="L26" s="3" t="str">
        <f>"1315.28"</f>
        <v>1315.28</v>
      </c>
      <c r="M26" s="3" t="str">
        <f t="shared" si="1"/>
        <v>20240516</v>
      </c>
      <c r="N26" s="3" t="s">
        <v>65</v>
      </c>
      <c r="O26" s="3"/>
    </row>
    <row r="27" spans="1:15">
      <c r="A27" s="3" t="str">
        <f>"661506219787300"</f>
        <v>661506219787300</v>
      </c>
      <c r="B27" s="3" t="s">
        <v>66</v>
      </c>
      <c r="C27" s="3" t="s">
        <v>16</v>
      </c>
      <c r="D27" s="3" t="str">
        <f t="shared" ref="D27:I27" si="27">"0"</f>
        <v>0</v>
      </c>
      <c r="E27" s="3" t="s">
        <v>17</v>
      </c>
      <c r="F27" s="3" t="s">
        <v>17</v>
      </c>
      <c r="G27" s="3" t="s">
        <v>25</v>
      </c>
      <c r="H27" s="3" t="str">
        <f t="shared" si="27"/>
        <v>0</v>
      </c>
      <c r="I27" s="3" t="str">
        <f t="shared" si="27"/>
        <v>0</v>
      </c>
      <c r="J27" s="3" t="str">
        <f>"1"</f>
        <v>1</v>
      </c>
      <c r="K27" s="3" t="str">
        <f>"537.84"</f>
        <v>537.84</v>
      </c>
      <c r="L27" s="3" t="str">
        <f>"322.7"</f>
        <v>322.7</v>
      </c>
      <c r="M27" s="3" t="str">
        <f t="shared" si="1"/>
        <v>20240516</v>
      </c>
      <c r="N27" s="3" t="s">
        <v>67</v>
      </c>
      <c r="O27" s="3"/>
    </row>
    <row r="28" spans="1:15">
      <c r="A28" s="3" t="str">
        <f>"661506219746800"</f>
        <v>661506219746800</v>
      </c>
      <c r="B28" s="3" t="s">
        <v>68</v>
      </c>
      <c r="C28" s="3" t="s">
        <v>16</v>
      </c>
      <c r="D28" s="3" t="str">
        <f t="shared" ref="D28:I28" si="28">"0"</f>
        <v>0</v>
      </c>
      <c r="E28" s="3" t="s">
        <v>17</v>
      </c>
      <c r="F28" s="3" t="s">
        <v>17</v>
      </c>
      <c r="G28" s="3" t="s">
        <v>25</v>
      </c>
      <c r="H28" s="3" t="str">
        <f t="shared" si="28"/>
        <v>0</v>
      </c>
      <c r="I28" s="3" t="str">
        <f t="shared" si="28"/>
        <v>0</v>
      </c>
      <c r="J28" s="3" t="str">
        <f>"2"</f>
        <v>2</v>
      </c>
      <c r="K28" s="3" t="str">
        <f>"1300"</f>
        <v>1300</v>
      </c>
      <c r="L28" s="3" t="str">
        <f>"780"</f>
        <v>780</v>
      </c>
      <c r="M28" s="3" t="str">
        <f t="shared" si="1"/>
        <v>20240516</v>
      </c>
      <c r="N28" s="3" t="s">
        <v>69</v>
      </c>
      <c r="O28" s="3"/>
    </row>
    <row r="29" spans="1:15">
      <c r="A29" s="3" t="str">
        <f>"661506219746500"</f>
        <v>661506219746500</v>
      </c>
      <c r="B29" s="3" t="s">
        <v>70</v>
      </c>
      <c r="C29" s="3" t="s">
        <v>16</v>
      </c>
      <c r="D29" s="3" t="str">
        <f t="shared" ref="D29:I29" si="29">"0"</f>
        <v>0</v>
      </c>
      <c r="E29" s="3" t="s">
        <v>17</v>
      </c>
      <c r="F29" s="3" t="s">
        <v>17</v>
      </c>
      <c r="G29" s="3" t="s">
        <v>25</v>
      </c>
      <c r="H29" s="3" t="str">
        <f t="shared" si="29"/>
        <v>0</v>
      </c>
      <c r="I29" s="3" t="str">
        <f t="shared" si="29"/>
        <v>0</v>
      </c>
      <c r="J29" s="3" t="str">
        <f>"1"</f>
        <v>1</v>
      </c>
      <c r="K29" s="3" t="str">
        <f>"537.84"</f>
        <v>537.84</v>
      </c>
      <c r="L29" s="3" t="str">
        <f>"322.7"</f>
        <v>322.7</v>
      </c>
      <c r="M29" s="3" t="str">
        <f t="shared" si="1"/>
        <v>20240516</v>
      </c>
      <c r="N29" s="3" t="s">
        <v>71</v>
      </c>
      <c r="O29" s="3"/>
    </row>
    <row r="30" spans="1:15">
      <c r="A30" s="3" t="str">
        <f>"661506219740600"</f>
        <v>661506219740600</v>
      </c>
      <c r="B30" s="3" t="s">
        <v>72</v>
      </c>
      <c r="C30" s="3" t="s">
        <v>16</v>
      </c>
      <c r="D30" s="3" t="str">
        <f t="shared" ref="D30:I30" si="30">"0"</f>
        <v>0</v>
      </c>
      <c r="E30" s="3" t="s">
        <v>17</v>
      </c>
      <c r="F30" s="3" t="s">
        <v>17</v>
      </c>
      <c r="G30" s="3" t="s">
        <v>25</v>
      </c>
      <c r="H30" s="3" t="str">
        <f t="shared" si="30"/>
        <v>0</v>
      </c>
      <c r="I30" s="3" t="str">
        <f t="shared" si="30"/>
        <v>0</v>
      </c>
      <c r="J30" s="3" t="str">
        <f>"7"</f>
        <v>7</v>
      </c>
      <c r="K30" s="3" t="str">
        <f>"3980.28"</f>
        <v>3980.28</v>
      </c>
      <c r="L30" s="3" t="str">
        <f>"2388.17"</f>
        <v>2388.17</v>
      </c>
      <c r="M30" s="3" t="str">
        <f t="shared" si="1"/>
        <v>20240516</v>
      </c>
      <c r="N30" s="3" t="s">
        <v>73</v>
      </c>
      <c r="O30" s="3"/>
    </row>
    <row r="31" spans="1:15">
      <c r="A31" s="3" t="str">
        <f>"661506219728800"</f>
        <v>661506219728800</v>
      </c>
      <c r="B31" s="3" t="s">
        <v>74</v>
      </c>
      <c r="C31" s="3" t="s">
        <v>16</v>
      </c>
      <c r="D31" s="3" t="str">
        <f t="shared" ref="D31:I31" si="31">"0"</f>
        <v>0</v>
      </c>
      <c r="E31" s="3" t="s">
        <v>17</v>
      </c>
      <c r="F31" s="3" t="s">
        <v>17</v>
      </c>
      <c r="G31" s="3" t="s">
        <v>25</v>
      </c>
      <c r="H31" s="3" t="str">
        <f t="shared" si="31"/>
        <v>0</v>
      </c>
      <c r="I31" s="3" t="str">
        <f t="shared" si="31"/>
        <v>0</v>
      </c>
      <c r="J31" s="3" t="str">
        <f>"10"</f>
        <v>10</v>
      </c>
      <c r="K31" s="3" t="str">
        <f>"5715.84"</f>
        <v>5715.84</v>
      </c>
      <c r="L31" s="3" t="str">
        <f>"3429.5"</f>
        <v>3429.5</v>
      </c>
      <c r="M31" s="3" t="str">
        <f t="shared" si="1"/>
        <v>20240516</v>
      </c>
      <c r="N31" s="3" t="s">
        <v>75</v>
      </c>
      <c r="O31" s="3"/>
    </row>
    <row r="32" spans="1:15">
      <c r="A32" s="3" t="str">
        <f>"661506219642400"</f>
        <v>661506219642400</v>
      </c>
      <c r="B32" s="3" t="s">
        <v>76</v>
      </c>
      <c r="C32" s="3" t="s">
        <v>16</v>
      </c>
      <c r="D32" s="3" t="str">
        <f t="shared" ref="D32:I32" si="32">"0"</f>
        <v>0</v>
      </c>
      <c r="E32" s="3" t="s">
        <v>17</v>
      </c>
      <c r="F32" s="3" t="s">
        <v>17</v>
      </c>
      <c r="G32" s="3" t="s">
        <v>25</v>
      </c>
      <c r="H32" s="3" t="str">
        <f t="shared" si="32"/>
        <v>0</v>
      </c>
      <c r="I32" s="3" t="str">
        <f t="shared" si="32"/>
        <v>0</v>
      </c>
      <c r="J32" s="3" t="str">
        <f>"11"</f>
        <v>11</v>
      </c>
      <c r="K32" s="3" t="str">
        <f>"6005.88"</f>
        <v>6005.88</v>
      </c>
      <c r="L32" s="3" t="str">
        <f>"3603.53"</f>
        <v>3603.53</v>
      </c>
      <c r="M32" s="3" t="str">
        <f t="shared" si="1"/>
        <v>20240516</v>
      </c>
      <c r="N32" s="3" t="s">
        <v>77</v>
      </c>
      <c r="O32" s="3"/>
    </row>
    <row r="33" spans="1:15">
      <c r="A33" s="3" t="str">
        <f>"661506219635000"</f>
        <v>661506219635000</v>
      </c>
      <c r="B33" s="3" t="s">
        <v>78</v>
      </c>
      <c r="C33" s="3" t="s">
        <v>16</v>
      </c>
      <c r="D33" s="3" t="str">
        <f t="shared" ref="D33:I33" si="33">"0"</f>
        <v>0</v>
      </c>
      <c r="E33" s="3" t="s">
        <v>17</v>
      </c>
      <c r="F33" s="3" t="s">
        <v>17</v>
      </c>
      <c r="G33" s="3" t="s">
        <v>18</v>
      </c>
      <c r="H33" s="3" t="str">
        <f t="shared" si="33"/>
        <v>0</v>
      </c>
      <c r="I33" s="3" t="str">
        <f t="shared" si="33"/>
        <v>0</v>
      </c>
      <c r="J33" s="3" t="str">
        <f>"9"</f>
        <v>9</v>
      </c>
      <c r="K33" s="3" t="str">
        <f>"6925.86"</f>
        <v>6925.86</v>
      </c>
      <c r="L33" s="3" t="str">
        <f>"4155.52"</f>
        <v>4155.52</v>
      </c>
      <c r="M33" s="3" t="str">
        <f t="shared" si="1"/>
        <v>20240516</v>
      </c>
      <c r="N33" s="3" t="s">
        <v>79</v>
      </c>
      <c r="O33" s="3"/>
    </row>
    <row r="34" spans="1:15">
      <c r="A34" s="3" t="str">
        <f>"661506219595000"</f>
        <v>661506219595000</v>
      </c>
      <c r="B34" s="3" t="s">
        <v>80</v>
      </c>
      <c r="C34" s="3" t="s">
        <v>16</v>
      </c>
      <c r="D34" s="3" t="str">
        <f t="shared" ref="D34:I34" si="34">"0"</f>
        <v>0</v>
      </c>
      <c r="E34" s="3" t="s">
        <v>17</v>
      </c>
      <c r="F34" s="3" t="s">
        <v>17</v>
      </c>
      <c r="G34" s="3" t="s">
        <v>25</v>
      </c>
      <c r="H34" s="3" t="str">
        <f t="shared" si="34"/>
        <v>0</v>
      </c>
      <c r="I34" s="3" t="str">
        <f t="shared" si="34"/>
        <v>0</v>
      </c>
      <c r="J34" s="3" t="str">
        <f>"6"</f>
        <v>6</v>
      </c>
      <c r="K34" s="3" t="str">
        <f>"3227.04"</f>
        <v>3227.04</v>
      </c>
      <c r="L34" s="3" t="str">
        <f>"1936.22"</f>
        <v>1936.22</v>
      </c>
      <c r="M34" s="3" t="str">
        <f t="shared" si="1"/>
        <v>20240516</v>
      </c>
      <c r="N34" s="3" t="s">
        <v>81</v>
      </c>
      <c r="O34" s="3"/>
    </row>
    <row r="35" spans="1:15">
      <c r="A35" s="3" t="str">
        <f>"661506219588500"</f>
        <v>661506219588500</v>
      </c>
      <c r="B35" s="3" t="s">
        <v>82</v>
      </c>
      <c r="C35" s="3" t="s">
        <v>16</v>
      </c>
      <c r="D35" s="3" t="str">
        <f t="shared" ref="D35:I35" si="35">"0"</f>
        <v>0</v>
      </c>
      <c r="E35" s="3" t="s">
        <v>17</v>
      </c>
      <c r="F35" s="3" t="s">
        <v>17</v>
      </c>
      <c r="G35" s="3" t="s">
        <v>25</v>
      </c>
      <c r="H35" s="3" t="str">
        <f t="shared" si="35"/>
        <v>0</v>
      </c>
      <c r="I35" s="3" t="str">
        <f t="shared" si="35"/>
        <v>0</v>
      </c>
      <c r="J35" s="3" t="str">
        <f>"5"</f>
        <v>5</v>
      </c>
      <c r="K35" s="3" t="str">
        <f>"2869.2"</f>
        <v>2869.2</v>
      </c>
      <c r="L35" s="3" t="str">
        <f>"1721.52"</f>
        <v>1721.52</v>
      </c>
      <c r="M35" s="3" t="str">
        <f t="shared" si="1"/>
        <v>20240516</v>
      </c>
      <c r="N35" s="3" t="s">
        <v>83</v>
      </c>
      <c r="O35" s="3"/>
    </row>
    <row r="36" spans="1:15">
      <c r="A36" s="3" t="str">
        <f>"661506219574400"</f>
        <v>661506219574400</v>
      </c>
      <c r="B36" s="3" t="s">
        <v>84</v>
      </c>
      <c r="C36" s="3" t="s">
        <v>16</v>
      </c>
      <c r="D36" s="3" t="str">
        <f t="shared" ref="D36:I36" si="36">"0"</f>
        <v>0</v>
      </c>
      <c r="E36" s="3" t="s">
        <v>17</v>
      </c>
      <c r="F36" s="3" t="s">
        <v>17</v>
      </c>
      <c r="G36" s="3" t="s">
        <v>25</v>
      </c>
      <c r="H36" s="3" t="str">
        <f t="shared" si="36"/>
        <v>0</v>
      </c>
      <c r="I36" s="3" t="str">
        <f t="shared" si="36"/>
        <v>0</v>
      </c>
      <c r="J36" s="3" t="str">
        <f>"9"</f>
        <v>9</v>
      </c>
      <c r="K36" s="3" t="str">
        <f>"7482"</f>
        <v>7482</v>
      </c>
      <c r="L36" s="3" t="str">
        <f>"4489.2"</f>
        <v>4489.2</v>
      </c>
      <c r="M36" s="3" t="str">
        <f t="shared" si="1"/>
        <v>20240516</v>
      </c>
      <c r="N36" s="3" t="s">
        <v>85</v>
      </c>
      <c r="O36" s="3"/>
    </row>
    <row r="37" spans="1:15">
      <c r="A37" s="3" t="str">
        <f>"661506219546600"</f>
        <v>661506219546600</v>
      </c>
      <c r="B37" s="3" t="s">
        <v>86</v>
      </c>
      <c r="C37" s="3" t="s">
        <v>16</v>
      </c>
      <c r="D37" s="3" t="str">
        <f t="shared" ref="D37:I37" si="37">"0"</f>
        <v>0</v>
      </c>
      <c r="E37" s="3" t="s">
        <v>17</v>
      </c>
      <c r="F37" s="3" t="s">
        <v>17</v>
      </c>
      <c r="G37" s="3" t="s">
        <v>25</v>
      </c>
      <c r="H37" s="3" t="str">
        <f t="shared" si="37"/>
        <v>0</v>
      </c>
      <c r="I37" s="3" t="str">
        <f t="shared" si="37"/>
        <v>0</v>
      </c>
      <c r="J37" s="3" t="str">
        <f>"2"</f>
        <v>2</v>
      </c>
      <c r="K37" s="3" t="str">
        <f>"1075.68"</f>
        <v>1075.68</v>
      </c>
      <c r="L37" s="3" t="str">
        <f>"645.41"</f>
        <v>645.41</v>
      </c>
      <c r="M37" s="3" t="str">
        <f t="shared" si="1"/>
        <v>20240516</v>
      </c>
      <c r="N37" s="3" t="s">
        <v>87</v>
      </c>
      <c r="O37" s="3"/>
    </row>
    <row r="38" spans="1:15">
      <c r="A38" s="3" t="str">
        <f>"661506219546400"</f>
        <v>661506219546400</v>
      </c>
      <c r="B38" s="3" t="s">
        <v>88</v>
      </c>
      <c r="C38" s="3"/>
      <c r="D38" s="3" t="str">
        <f t="shared" ref="D38:I38" si="38">"0"</f>
        <v>0</v>
      </c>
      <c r="E38" s="3" t="s">
        <v>17</v>
      </c>
      <c r="F38" s="3" t="s">
        <v>17</v>
      </c>
      <c r="G38" s="3" t="s">
        <v>25</v>
      </c>
      <c r="H38" s="3" t="str">
        <f t="shared" si="38"/>
        <v>0</v>
      </c>
      <c r="I38" s="3" t="str">
        <f t="shared" si="38"/>
        <v>0</v>
      </c>
      <c r="J38" s="3" t="str">
        <f>"14"</f>
        <v>14</v>
      </c>
      <c r="K38" s="3" t="str">
        <f>"13338.06"</f>
        <v>13338.06</v>
      </c>
      <c r="L38" s="3" t="str">
        <f>"8002.84"</f>
        <v>8002.84</v>
      </c>
      <c r="M38" s="3" t="str">
        <f t="shared" si="1"/>
        <v>20240516</v>
      </c>
      <c r="N38" s="3" t="s">
        <v>89</v>
      </c>
      <c r="O38" s="3"/>
    </row>
    <row r="39" spans="1:15">
      <c r="A39" s="3" t="str">
        <f>"661506219534400"</f>
        <v>661506219534400</v>
      </c>
      <c r="B39" s="3" t="s">
        <v>90</v>
      </c>
      <c r="C39" s="3" t="s">
        <v>16</v>
      </c>
      <c r="D39" s="3" t="str">
        <f t="shared" ref="D39:I39" si="39">"0"</f>
        <v>0</v>
      </c>
      <c r="E39" s="3" t="s">
        <v>17</v>
      </c>
      <c r="F39" s="3" t="s">
        <v>17</v>
      </c>
      <c r="G39" s="3" t="s">
        <v>18</v>
      </c>
      <c r="H39" s="3" t="str">
        <f t="shared" si="39"/>
        <v>0</v>
      </c>
      <c r="I39" s="3" t="str">
        <f t="shared" si="39"/>
        <v>0</v>
      </c>
      <c r="J39" s="3" t="str">
        <f t="shared" ref="J39:J42" si="40">"3"</f>
        <v>3</v>
      </c>
      <c r="K39" s="3" t="str">
        <f>"2106.54"</f>
        <v>2106.54</v>
      </c>
      <c r="L39" s="3" t="str">
        <f>"1263.92"</f>
        <v>1263.92</v>
      </c>
      <c r="M39" s="3" t="str">
        <f t="shared" si="1"/>
        <v>20240516</v>
      </c>
      <c r="N39" s="3" t="s">
        <v>91</v>
      </c>
      <c r="O39" s="3"/>
    </row>
    <row r="40" spans="1:15">
      <c r="A40" s="3" t="str">
        <f>"661506219529000"</f>
        <v>661506219529000</v>
      </c>
      <c r="B40" s="3" t="s">
        <v>92</v>
      </c>
      <c r="C40" s="3" t="s">
        <v>16</v>
      </c>
      <c r="D40" s="3" t="str">
        <f t="shared" ref="D40:I40" si="41">"0"</f>
        <v>0</v>
      </c>
      <c r="E40" s="3" t="s">
        <v>17</v>
      </c>
      <c r="F40" s="3" t="s">
        <v>17</v>
      </c>
      <c r="G40" s="3" t="s">
        <v>25</v>
      </c>
      <c r="H40" s="3" t="str">
        <f t="shared" si="41"/>
        <v>0</v>
      </c>
      <c r="I40" s="3" t="str">
        <f t="shared" si="41"/>
        <v>0</v>
      </c>
      <c r="J40" s="3" t="str">
        <f>"4"</f>
        <v>4</v>
      </c>
      <c r="K40" s="3" t="str">
        <f>"2330.64"</f>
        <v>2330.64</v>
      </c>
      <c r="L40" s="3" t="str">
        <f>"1398.38"</f>
        <v>1398.38</v>
      </c>
      <c r="M40" s="3" t="str">
        <f t="shared" si="1"/>
        <v>20240516</v>
      </c>
      <c r="N40" s="3" t="s">
        <v>93</v>
      </c>
      <c r="O40" s="3"/>
    </row>
    <row r="41" spans="1:15">
      <c r="A41" s="3" t="str">
        <f>"661506219522400"</f>
        <v>661506219522400</v>
      </c>
      <c r="B41" s="3" t="s">
        <v>94</v>
      </c>
      <c r="C41" s="3" t="s">
        <v>16</v>
      </c>
      <c r="D41" s="3" t="str">
        <f t="shared" ref="D41:I41" si="42">"0"</f>
        <v>0</v>
      </c>
      <c r="E41" s="3" t="s">
        <v>17</v>
      </c>
      <c r="F41" s="3" t="s">
        <v>17</v>
      </c>
      <c r="G41" s="3" t="s">
        <v>25</v>
      </c>
      <c r="H41" s="3" t="str">
        <f t="shared" si="42"/>
        <v>0</v>
      </c>
      <c r="I41" s="3" t="str">
        <f t="shared" si="42"/>
        <v>0</v>
      </c>
      <c r="J41" s="3" t="str">
        <f t="shared" si="40"/>
        <v>3</v>
      </c>
      <c r="K41" s="3" t="str">
        <f>"1947.84"</f>
        <v>1947.84</v>
      </c>
      <c r="L41" s="3" t="str">
        <f>"1168.7"</f>
        <v>1168.7</v>
      </c>
      <c r="M41" s="3" t="str">
        <f t="shared" si="1"/>
        <v>20240516</v>
      </c>
      <c r="N41" s="3" t="s">
        <v>95</v>
      </c>
      <c r="O41" s="3"/>
    </row>
    <row r="42" spans="1:15">
      <c r="A42" s="3" t="str">
        <f>"661506219516400"</f>
        <v>661506219516400</v>
      </c>
      <c r="B42" s="3" t="s">
        <v>96</v>
      </c>
      <c r="C42" s="3" t="s">
        <v>16</v>
      </c>
      <c r="D42" s="3" t="str">
        <f t="shared" ref="D42:I42" si="43">"0"</f>
        <v>0</v>
      </c>
      <c r="E42" s="3" t="s">
        <v>17</v>
      </c>
      <c r="F42" s="3" t="s">
        <v>17</v>
      </c>
      <c r="G42" s="3" t="s">
        <v>25</v>
      </c>
      <c r="H42" s="3" t="str">
        <f t="shared" si="43"/>
        <v>0</v>
      </c>
      <c r="I42" s="3" t="str">
        <f t="shared" si="43"/>
        <v>0</v>
      </c>
      <c r="J42" s="3" t="str">
        <f t="shared" si="40"/>
        <v>3</v>
      </c>
      <c r="K42" s="3" t="str">
        <f>"2019.48"</f>
        <v>2019.48</v>
      </c>
      <c r="L42" s="3" t="str">
        <f>"1211.69"</f>
        <v>1211.69</v>
      </c>
      <c r="M42" s="3" t="str">
        <f t="shared" si="1"/>
        <v>20240516</v>
      </c>
      <c r="N42" s="3" t="s">
        <v>97</v>
      </c>
      <c r="O42" s="3"/>
    </row>
    <row r="43" spans="1:15">
      <c r="A43" s="3" t="str">
        <f>"661506219512400"</f>
        <v>661506219512400</v>
      </c>
      <c r="B43" s="3" t="s">
        <v>98</v>
      </c>
      <c r="C43" s="3" t="s">
        <v>16</v>
      </c>
      <c r="D43" s="3" t="str">
        <f t="shared" ref="D43:I43" si="44">"0"</f>
        <v>0</v>
      </c>
      <c r="E43" s="3" t="s">
        <v>17</v>
      </c>
      <c r="F43" s="3" t="s">
        <v>17</v>
      </c>
      <c r="G43" s="3" t="s">
        <v>25</v>
      </c>
      <c r="H43" s="3" t="str">
        <f t="shared" si="44"/>
        <v>0</v>
      </c>
      <c r="I43" s="3" t="str">
        <f t="shared" si="44"/>
        <v>0</v>
      </c>
      <c r="J43" s="3" t="str">
        <f>"6"</f>
        <v>6</v>
      </c>
      <c r="K43" s="3" t="str">
        <f>"3441.16"</f>
        <v>3441.16</v>
      </c>
      <c r="L43" s="3" t="str">
        <f>"2064.7"</f>
        <v>2064.7</v>
      </c>
      <c r="M43" s="3" t="str">
        <f t="shared" si="1"/>
        <v>20240516</v>
      </c>
      <c r="N43" s="3" t="s">
        <v>99</v>
      </c>
      <c r="O43" s="3"/>
    </row>
    <row r="44" spans="1:15">
      <c r="A44" s="3" t="str">
        <f>"661506219508400"</f>
        <v>661506219508400</v>
      </c>
      <c r="B44" s="3" t="s">
        <v>100</v>
      </c>
      <c r="C44" s="3" t="s">
        <v>16</v>
      </c>
      <c r="D44" s="3" t="str">
        <f t="shared" ref="D44:I44" si="45">"0"</f>
        <v>0</v>
      </c>
      <c r="E44" s="3" t="s">
        <v>17</v>
      </c>
      <c r="F44" s="3" t="s">
        <v>17</v>
      </c>
      <c r="G44" s="3" t="s">
        <v>25</v>
      </c>
      <c r="H44" s="3" t="str">
        <f t="shared" si="45"/>
        <v>0</v>
      </c>
      <c r="I44" s="3" t="str">
        <f t="shared" si="45"/>
        <v>0</v>
      </c>
      <c r="J44" s="3" t="str">
        <f>"8"</f>
        <v>8</v>
      </c>
      <c r="K44" s="3" t="str">
        <f>"8626.8"</f>
        <v>8626.8</v>
      </c>
      <c r="L44" s="3" t="str">
        <f>"5176.08"</f>
        <v>5176.08</v>
      </c>
      <c r="M44" s="3" t="str">
        <f t="shared" si="1"/>
        <v>20240516</v>
      </c>
      <c r="N44" s="3" t="s">
        <v>101</v>
      </c>
      <c r="O44" s="3"/>
    </row>
    <row r="45" spans="1:15">
      <c r="A45" s="3" t="str">
        <f>"661506219506400"</f>
        <v>661506219506400</v>
      </c>
      <c r="B45" s="3" t="s">
        <v>102</v>
      </c>
      <c r="C45" s="3" t="s">
        <v>16</v>
      </c>
      <c r="D45" s="3" t="str">
        <f t="shared" ref="D45:I45" si="46">"0"</f>
        <v>0</v>
      </c>
      <c r="E45" s="3" t="s">
        <v>17</v>
      </c>
      <c r="F45" s="3" t="s">
        <v>17</v>
      </c>
      <c r="G45" s="3" t="s">
        <v>18</v>
      </c>
      <c r="H45" s="3" t="str">
        <f t="shared" si="46"/>
        <v>0</v>
      </c>
      <c r="I45" s="3" t="str">
        <f t="shared" si="46"/>
        <v>0</v>
      </c>
      <c r="J45" s="3" t="str">
        <f>"9"</f>
        <v>9</v>
      </c>
      <c r="K45" s="3" t="str">
        <f>"4975.02"</f>
        <v>4975.02</v>
      </c>
      <c r="L45" s="3" t="str">
        <f>"2985.01"</f>
        <v>2985.01</v>
      </c>
      <c r="M45" s="3" t="str">
        <f t="shared" si="1"/>
        <v>20240516</v>
      </c>
      <c r="N45" s="3" t="s">
        <v>103</v>
      </c>
      <c r="O45" s="3"/>
    </row>
    <row r="46" spans="1:15">
      <c r="A46" s="3" t="str">
        <f>"661506219505000"</f>
        <v>661506219505000</v>
      </c>
      <c r="B46" s="3" t="s">
        <v>104</v>
      </c>
      <c r="C46" s="3" t="s">
        <v>16</v>
      </c>
      <c r="D46" s="3" t="str">
        <f t="shared" ref="D46:I46" si="47">"0"</f>
        <v>0</v>
      </c>
      <c r="E46" s="3" t="s">
        <v>17</v>
      </c>
      <c r="F46" s="3" t="s">
        <v>17</v>
      </c>
      <c r="G46" s="3" t="s">
        <v>25</v>
      </c>
      <c r="H46" s="3" t="str">
        <f t="shared" si="47"/>
        <v>0</v>
      </c>
      <c r="I46" s="3" t="str">
        <f t="shared" si="47"/>
        <v>0</v>
      </c>
      <c r="J46" s="3" t="str">
        <f>"5"</f>
        <v>5</v>
      </c>
      <c r="K46" s="3" t="str">
        <f>"8580"</f>
        <v>8580</v>
      </c>
      <c r="L46" s="3" t="str">
        <f>"5148"</f>
        <v>5148</v>
      </c>
      <c r="M46" s="3" t="str">
        <f t="shared" si="1"/>
        <v>20240516</v>
      </c>
      <c r="N46" s="3" t="s">
        <v>105</v>
      </c>
      <c r="O46" s="3"/>
    </row>
    <row r="47" spans="1:15">
      <c r="A47" s="3" t="str">
        <f>"661506219490400"</f>
        <v>661506219490400</v>
      </c>
      <c r="B47" s="3" t="s">
        <v>106</v>
      </c>
      <c r="C47" s="3" t="s">
        <v>16</v>
      </c>
      <c r="D47" s="3" t="str">
        <f t="shared" ref="D47:I47" si="48">"0"</f>
        <v>0</v>
      </c>
      <c r="E47" s="3" t="s">
        <v>17</v>
      </c>
      <c r="F47" s="3" t="s">
        <v>17</v>
      </c>
      <c r="G47" s="3" t="s">
        <v>25</v>
      </c>
      <c r="H47" s="3" t="str">
        <f t="shared" si="48"/>
        <v>0</v>
      </c>
      <c r="I47" s="3" t="str">
        <f t="shared" si="48"/>
        <v>0</v>
      </c>
      <c r="J47" s="3" t="str">
        <f>"8"</f>
        <v>8</v>
      </c>
      <c r="K47" s="3" t="str">
        <f>"7110.92"</f>
        <v>7110.92</v>
      </c>
      <c r="L47" s="3" t="str">
        <f>"4266.55"</f>
        <v>4266.55</v>
      </c>
      <c r="M47" s="3" t="str">
        <f t="shared" si="1"/>
        <v>20240516</v>
      </c>
      <c r="N47" s="3" t="s">
        <v>107</v>
      </c>
      <c r="O47" s="3"/>
    </row>
    <row r="48" spans="1:15">
      <c r="A48" s="3" t="str">
        <f>"661506219484400"</f>
        <v>661506219484400</v>
      </c>
      <c r="B48" s="3" t="s">
        <v>108</v>
      </c>
      <c r="C48" s="3"/>
      <c r="D48" s="3" t="str">
        <f t="shared" ref="D48:I48" si="49">"0"</f>
        <v>0</v>
      </c>
      <c r="E48" s="3" t="s">
        <v>17</v>
      </c>
      <c r="F48" s="3" t="s">
        <v>17</v>
      </c>
      <c r="G48" s="3" t="s">
        <v>25</v>
      </c>
      <c r="H48" s="3" t="str">
        <f t="shared" si="49"/>
        <v>0</v>
      </c>
      <c r="I48" s="3" t="str">
        <f t="shared" si="49"/>
        <v>0</v>
      </c>
      <c r="J48" s="3" t="str">
        <f>"2"</f>
        <v>2</v>
      </c>
      <c r="K48" s="3" t="str">
        <f>"1163.46"</f>
        <v>1163.46</v>
      </c>
      <c r="L48" s="3" t="str">
        <f>"698.08"</f>
        <v>698.08</v>
      </c>
      <c r="M48" s="3" t="str">
        <f t="shared" si="1"/>
        <v>20240516</v>
      </c>
      <c r="N48" s="3" t="s">
        <v>109</v>
      </c>
      <c r="O48" s="3"/>
    </row>
    <row r="49" spans="1:15">
      <c r="A49" s="3" t="str">
        <f>"661506219478400"</f>
        <v>661506219478400</v>
      </c>
      <c r="B49" s="3" t="s">
        <v>110</v>
      </c>
      <c r="C49" s="3" t="s">
        <v>16</v>
      </c>
      <c r="D49" s="3" t="str">
        <f t="shared" ref="D49:I49" si="50">"0"</f>
        <v>0</v>
      </c>
      <c r="E49" s="3" t="s">
        <v>17</v>
      </c>
      <c r="F49" s="3" t="s">
        <v>17</v>
      </c>
      <c r="G49" s="3" t="s">
        <v>25</v>
      </c>
      <c r="H49" s="3" t="str">
        <f t="shared" si="50"/>
        <v>0</v>
      </c>
      <c r="I49" s="3" t="str">
        <f t="shared" si="50"/>
        <v>0</v>
      </c>
      <c r="J49" s="3" t="str">
        <f>"21"</f>
        <v>21</v>
      </c>
      <c r="K49" s="3" t="str">
        <f>"13352.84"</f>
        <v>13352.84</v>
      </c>
      <c r="L49" s="3" t="str">
        <f>"8011.7"</f>
        <v>8011.7</v>
      </c>
      <c r="M49" s="3" t="str">
        <f t="shared" si="1"/>
        <v>20240516</v>
      </c>
      <c r="N49" s="3" t="s">
        <v>111</v>
      </c>
      <c r="O49" s="3"/>
    </row>
    <row r="50" spans="1:15">
      <c r="A50" s="3" t="str">
        <f>"661506219448500"</f>
        <v>661506219448500</v>
      </c>
      <c r="B50" s="3" t="s">
        <v>112</v>
      </c>
      <c r="C50" s="3"/>
      <c r="D50" s="3" t="str">
        <f t="shared" ref="D50:I50" si="51">"0"</f>
        <v>0</v>
      </c>
      <c r="E50" s="3" t="s">
        <v>17</v>
      </c>
      <c r="F50" s="3" t="s">
        <v>17</v>
      </c>
      <c r="G50" s="3" t="s">
        <v>25</v>
      </c>
      <c r="H50" s="3" t="str">
        <f t="shared" si="51"/>
        <v>0</v>
      </c>
      <c r="I50" s="3" t="str">
        <f t="shared" si="51"/>
        <v>0</v>
      </c>
      <c r="J50" s="3" t="str">
        <f>"3"</f>
        <v>3</v>
      </c>
      <c r="K50" s="3" t="str">
        <f>"1613.52"</f>
        <v>1613.52</v>
      </c>
      <c r="L50" s="3" t="str">
        <f>"968.11"</f>
        <v>968.11</v>
      </c>
      <c r="M50" s="3" t="str">
        <f t="shared" si="1"/>
        <v>20240516</v>
      </c>
      <c r="N50" s="3" t="s">
        <v>113</v>
      </c>
      <c r="O50" s="3"/>
    </row>
    <row r="51" spans="1:15">
      <c r="A51" s="3" t="str">
        <f>"661506219410500"</f>
        <v>661506219410500</v>
      </c>
      <c r="B51" s="3" t="s">
        <v>114</v>
      </c>
      <c r="C51" s="3" t="s">
        <v>16</v>
      </c>
      <c r="D51" s="3" t="str">
        <f t="shared" ref="D51:I51" si="52">"0"</f>
        <v>0</v>
      </c>
      <c r="E51" s="3" t="s">
        <v>17</v>
      </c>
      <c r="F51" s="3" t="s">
        <v>17</v>
      </c>
      <c r="G51" s="3" t="s">
        <v>16</v>
      </c>
      <c r="H51" s="3" t="str">
        <f t="shared" si="52"/>
        <v>0</v>
      </c>
      <c r="I51" s="3" t="str">
        <f t="shared" si="52"/>
        <v>0</v>
      </c>
      <c r="J51" s="3" t="str">
        <f>"2"</f>
        <v>2</v>
      </c>
      <c r="K51" s="3" t="str">
        <f>"1075.68"</f>
        <v>1075.68</v>
      </c>
      <c r="L51" s="3" t="str">
        <f t="shared" ref="L51:L53" si="53">"322.7"</f>
        <v>322.7</v>
      </c>
      <c r="M51" s="3" t="str">
        <f t="shared" si="1"/>
        <v>20240516</v>
      </c>
      <c r="N51" s="3" t="s">
        <v>115</v>
      </c>
      <c r="O51" s="3"/>
    </row>
    <row r="52" spans="1:15">
      <c r="A52" s="3" t="str">
        <f>"661506219400500"</f>
        <v>661506219400500</v>
      </c>
      <c r="B52" s="3" t="s">
        <v>116</v>
      </c>
      <c r="C52" s="3" t="s">
        <v>16</v>
      </c>
      <c r="D52" s="3" t="str">
        <f t="shared" ref="D52:I52" si="54">"0"</f>
        <v>0</v>
      </c>
      <c r="E52" s="3" t="s">
        <v>17</v>
      </c>
      <c r="F52" s="3" t="s">
        <v>17</v>
      </c>
      <c r="G52" s="3" t="s">
        <v>25</v>
      </c>
      <c r="H52" s="3" t="str">
        <f t="shared" si="54"/>
        <v>0</v>
      </c>
      <c r="I52" s="3" t="str">
        <f t="shared" si="54"/>
        <v>0</v>
      </c>
      <c r="J52" s="3" t="str">
        <f>"1"</f>
        <v>1</v>
      </c>
      <c r="K52" s="3" t="str">
        <f>"537.84"</f>
        <v>537.84</v>
      </c>
      <c r="L52" s="3" t="str">
        <f t="shared" si="53"/>
        <v>322.7</v>
      </c>
      <c r="M52" s="3" t="str">
        <f t="shared" si="1"/>
        <v>20240516</v>
      </c>
      <c r="N52" s="3" t="s">
        <v>117</v>
      </c>
      <c r="O52" s="3"/>
    </row>
    <row r="53" spans="1:15">
      <c r="A53" s="3" t="str">
        <f>"661506219372400"</f>
        <v>661506219372400</v>
      </c>
      <c r="B53" s="3" t="s">
        <v>118</v>
      </c>
      <c r="C53" s="3" t="s">
        <v>16</v>
      </c>
      <c r="D53" s="3" t="str">
        <f t="shared" ref="D53:I53" si="55">"0"</f>
        <v>0</v>
      </c>
      <c r="E53" s="3" t="s">
        <v>17</v>
      </c>
      <c r="F53" s="3" t="s">
        <v>17</v>
      </c>
      <c r="G53" s="3" t="s">
        <v>18</v>
      </c>
      <c r="H53" s="3" t="str">
        <f t="shared" si="55"/>
        <v>0</v>
      </c>
      <c r="I53" s="3" t="str">
        <f t="shared" si="55"/>
        <v>0</v>
      </c>
      <c r="J53" s="3" t="str">
        <f>"1"</f>
        <v>1</v>
      </c>
      <c r="K53" s="3" t="str">
        <f>"537.84"</f>
        <v>537.84</v>
      </c>
      <c r="L53" s="3" t="str">
        <f t="shared" si="53"/>
        <v>322.7</v>
      </c>
      <c r="M53" s="3" t="str">
        <f t="shared" si="1"/>
        <v>20240516</v>
      </c>
      <c r="N53" s="3" t="s">
        <v>119</v>
      </c>
      <c r="O53" s="3"/>
    </row>
    <row r="54" spans="1:15">
      <c r="A54" s="3" t="str">
        <f>"661506219220400"</f>
        <v>661506219220400</v>
      </c>
      <c r="B54" s="3" t="s">
        <v>120</v>
      </c>
      <c r="C54" s="3" t="s">
        <v>16</v>
      </c>
      <c r="D54" s="3" t="str">
        <f t="shared" ref="D54:I54" si="56">"0"</f>
        <v>0</v>
      </c>
      <c r="E54" s="3" t="s">
        <v>17</v>
      </c>
      <c r="F54" s="3" t="s">
        <v>17</v>
      </c>
      <c r="G54" s="3" t="s">
        <v>18</v>
      </c>
      <c r="H54" s="3" t="str">
        <f t="shared" si="56"/>
        <v>0</v>
      </c>
      <c r="I54" s="3" t="str">
        <f t="shared" si="56"/>
        <v>0</v>
      </c>
      <c r="J54" s="3" t="str">
        <f>"11"</f>
        <v>11</v>
      </c>
      <c r="K54" s="3" t="str">
        <f>"6274.8"</f>
        <v>6274.8</v>
      </c>
      <c r="L54" s="3" t="str">
        <f>"3764.88"</f>
        <v>3764.88</v>
      </c>
      <c r="M54" s="3" t="str">
        <f t="shared" si="1"/>
        <v>20240516</v>
      </c>
      <c r="N54" s="3" t="s">
        <v>121</v>
      </c>
      <c r="O54" s="3"/>
    </row>
    <row r="55" spans="1:15">
      <c r="A55" s="3" t="str">
        <f>"661506219212400"</f>
        <v>661506219212400</v>
      </c>
      <c r="B55" s="3" t="s">
        <v>122</v>
      </c>
      <c r="C55" s="3" t="s">
        <v>16</v>
      </c>
      <c r="D55" s="3" t="str">
        <f t="shared" ref="D55:I55" si="57">"0"</f>
        <v>0</v>
      </c>
      <c r="E55" s="3" t="s">
        <v>17</v>
      </c>
      <c r="F55" s="3" t="s">
        <v>17</v>
      </c>
      <c r="G55" s="3" t="s">
        <v>25</v>
      </c>
      <c r="H55" s="3" t="str">
        <f t="shared" si="57"/>
        <v>0</v>
      </c>
      <c r="I55" s="3" t="str">
        <f t="shared" si="57"/>
        <v>0</v>
      </c>
      <c r="J55" s="3" t="str">
        <f>"44"</f>
        <v>44</v>
      </c>
      <c r="K55" s="3" t="str">
        <f>"24023.52"</f>
        <v>24023.52</v>
      </c>
      <c r="L55" s="3" t="str">
        <f>"14414.11"</f>
        <v>14414.11</v>
      </c>
      <c r="M55" s="3" t="str">
        <f t="shared" si="1"/>
        <v>20240516</v>
      </c>
      <c r="N55" s="3" t="s">
        <v>123</v>
      </c>
      <c r="O55" s="3"/>
    </row>
    <row r="56" spans="1:15">
      <c r="A56" s="3" t="str">
        <f>"661506219208400"</f>
        <v>661506219208400</v>
      </c>
      <c r="B56" s="3" t="s">
        <v>124</v>
      </c>
      <c r="C56" s="3" t="s">
        <v>16</v>
      </c>
      <c r="D56" s="3" t="str">
        <f t="shared" ref="D56:I56" si="58">"0"</f>
        <v>0</v>
      </c>
      <c r="E56" s="3" t="s">
        <v>17</v>
      </c>
      <c r="F56" s="3" t="s">
        <v>17</v>
      </c>
      <c r="G56" s="3" t="s">
        <v>25</v>
      </c>
      <c r="H56" s="3" t="str">
        <f t="shared" si="58"/>
        <v>0</v>
      </c>
      <c r="I56" s="3" t="str">
        <f t="shared" si="58"/>
        <v>0</v>
      </c>
      <c r="J56" s="3" t="str">
        <f t="shared" ref="J56:J60" si="59">"2"</f>
        <v>2</v>
      </c>
      <c r="K56" s="3" t="str">
        <f>"1200.32"</f>
        <v>1200.32</v>
      </c>
      <c r="L56" s="3" t="str">
        <f>"720.19"</f>
        <v>720.19</v>
      </c>
      <c r="M56" s="3" t="str">
        <f t="shared" si="1"/>
        <v>20240516</v>
      </c>
      <c r="N56" s="3" t="str">
        <f>"911506217722120115"</f>
        <v>911506217722120115</v>
      </c>
      <c r="O56" s="3"/>
    </row>
    <row r="57" spans="1:15">
      <c r="A57" s="3" t="str">
        <f>"661506219202500"</f>
        <v>661506219202500</v>
      </c>
      <c r="B57" s="3" t="s">
        <v>125</v>
      </c>
      <c r="C57" s="3" t="s">
        <v>16</v>
      </c>
      <c r="D57" s="3" t="str">
        <f t="shared" ref="D57:I57" si="60">"0"</f>
        <v>0</v>
      </c>
      <c r="E57" s="3" t="s">
        <v>17</v>
      </c>
      <c r="F57" s="3" t="s">
        <v>17</v>
      </c>
      <c r="G57" s="3" t="s">
        <v>25</v>
      </c>
      <c r="H57" s="3" t="str">
        <f t="shared" si="60"/>
        <v>0</v>
      </c>
      <c r="I57" s="3" t="str">
        <f t="shared" si="60"/>
        <v>0</v>
      </c>
      <c r="J57" s="3" t="str">
        <f>"4"</f>
        <v>4</v>
      </c>
      <c r="K57" s="3" t="str">
        <f>"2208.64"</f>
        <v>2208.64</v>
      </c>
      <c r="L57" s="3" t="str">
        <f>"1325.18"</f>
        <v>1325.18</v>
      </c>
      <c r="M57" s="3" t="str">
        <f t="shared" si="1"/>
        <v>20240516</v>
      </c>
      <c r="N57" s="3" t="s">
        <v>126</v>
      </c>
      <c r="O57" s="3"/>
    </row>
    <row r="58" spans="1:15">
      <c r="A58" s="3" t="str">
        <f>"661506219202400"</f>
        <v>661506219202400</v>
      </c>
      <c r="B58" s="3" t="s">
        <v>127</v>
      </c>
      <c r="C58" s="3" t="s">
        <v>16</v>
      </c>
      <c r="D58" s="3" t="str">
        <f t="shared" ref="D58:I58" si="61">"0"</f>
        <v>0</v>
      </c>
      <c r="E58" s="3" t="s">
        <v>17</v>
      </c>
      <c r="F58" s="3" t="s">
        <v>17</v>
      </c>
      <c r="G58" s="3" t="s">
        <v>25</v>
      </c>
      <c r="H58" s="3" t="str">
        <f t="shared" si="61"/>
        <v>0</v>
      </c>
      <c r="I58" s="3" t="str">
        <f t="shared" si="61"/>
        <v>0</v>
      </c>
      <c r="J58" s="3" t="str">
        <f>"5"</f>
        <v>5</v>
      </c>
      <c r="K58" s="3" t="str">
        <f>"3047.76"</f>
        <v>3047.76</v>
      </c>
      <c r="L58" s="3" t="str">
        <f>"1828.66"</f>
        <v>1828.66</v>
      </c>
      <c r="M58" s="3" t="str">
        <f t="shared" si="1"/>
        <v>20240516</v>
      </c>
      <c r="N58" s="3" t="s">
        <v>128</v>
      </c>
      <c r="O58" s="3"/>
    </row>
    <row r="59" spans="1:15">
      <c r="A59" s="3" t="str">
        <f>"661506219166500"</f>
        <v>661506219166500</v>
      </c>
      <c r="B59" s="3" t="s">
        <v>129</v>
      </c>
      <c r="C59" s="3" t="s">
        <v>16</v>
      </c>
      <c r="D59" s="3" t="str">
        <f t="shared" ref="D59:I59" si="62">"0"</f>
        <v>0</v>
      </c>
      <c r="E59" s="3" t="s">
        <v>17</v>
      </c>
      <c r="F59" s="3" t="s">
        <v>17</v>
      </c>
      <c r="G59" s="3" t="s">
        <v>25</v>
      </c>
      <c r="H59" s="3" t="str">
        <f t="shared" si="62"/>
        <v>0</v>
      </c>
      <c r="I59" s="3" t="str">
        <f t="shared" si="62"/>
        <v>0</v>
      </c>
      <c r="J59" s="3" t="str">
        <f t="shared" si="59"/>
        <v>2</v>
      </c>
      <c r="K59" s="3" t="str">
        <f>"1075.68"</f>
        <v>1075.68</v>
      </c>
      <c r="L59" s="3" t="str">
        <f>"645.41"</f>
        <v>645.41</v>
      </c>
      <c r="M59" s="3" t="str">
        <f t="shared" si="1"/>
        <v>20240516</v>
      </c>
      <c r="N59" s="3" t="s">
        <v>130</v>
      </c>
      <c r="O59" s="3"/>
    </row>
    <row r="60" spans="1:15">
      <c r="A60" s="3" t="str">
        <f>"661506219166400"</f>
        <v>661506219166400</v>
      </c>
      <c r="B60" s="3" t="s">
        <v>131</v>
      </c>
      <c r="C60" s="3" t="s">
        <v>16</v>
      </c>
      <c r="D60" s="3" t="str">
        <f t="shared" ref="D60:I60" si="63">"0"</f>
        <v>0</v>
      </c>
      <c r="E60" s="3" t="s">
        <v>17</v>
      </c>
      <c r="F60" s="3" t="s">
        <v>17</v>
      </c>
      <c r="G60" s="3" t="s">
        <v>25</v>
      </c>
      <c r="H60" s="3" t="str">
        <f t="shared" si="63"/>
        <v>0</v>
      </c>
      <c r="I60" s="3" t="str">
        <f t="shared" si="63"/>
        <v>0</v>
      </c>
      <c r="J60" s="3" t="str">
        <f t="shared" si="59"/>
        <v>2</v>
      </c>
      <c r="K60" s="3" t="str">
        <f>"1075.68"</f>
        <v>1075.68</v>
      </c>
      <c r="L60" s="3" t="str">
        <f>"645.41"</f>
        <v>645.41</v>
      </c>
      <c r="M60" s="3" t="str">
        <f t="shared" si="1"/>
        <v>20240516</v>
      </c>
      <c r="N60" s="3" t="s">
        <v>132</v>
      </c>
      <c r="O60" s="3"/>
    </row>
    <row r="61" spans="1:15">
      <c r="A61" s="3" t="str">
        <f>"661506219160400"</f>
        <v>661506219160400</v>
      </c>
      <c r="B61" s="3" t="s">
        <v>133</v>
      </c>
      <c r="C61" s="3" t="s">
        <v>16</v>
      </c>
      <c r="D61" s="3" t="str">
        <f t="shared" ref="D61:I61" si="64">"0"</f>
        <v>0</v>
      </c>
      <c r="E61" s="3" t="s">
        <v>17</v>
      </c>
      <c r="F61" s="3" t="s">
        <v>17</v>
      </c>
      <c r="G61" s="3" t="s">
        <v>25</v>
      </c>
      <c r="H61" s="3" t="str">
        <f t="shared" si="64"/>
        <v>0</v>
      </c>
      <c r="I61" s="3" t="str">
        <f t="shared" si="64"/>
        <v>0</v>
      </c>
      <c r="J61" s="3" t="str">
        <f>"7"</f>
        <v>7</v>
      </c>
      <c r="K61" s="3" t="str">
        <f>"5813.82"</f>
        <v>5813.82</v>
      </c>
      <c r="L61" s="3" t="str">
        <f>"3488.29"</f>
        <v>3488.29</v>
      </c>
      <c r="M61" s="3" t="str">
        <f t="shared" si="1"/>
        <v>20240516</v>
      </c>
      <c r="N61" s="3" t="s">
        <v>134</v>
      </c>
      <c r="O61" s="3"/>
    </row>
    <row r="62" spans="1:15">
      <c r="A62" s="3" t="str">
        <f>"661506219038400"</f>
        <v>661506219038400</v>
      </c>
      <c r="B62" s="3" t="s">
        <v>135</v>
      </c>
      <c r="C62" s="3" t="s">
        <v>16</v>
      </c>
      <c r="D62" s="3" t="str">
        <f t="shared" ref="D62:I62" si="65">"0"</f>
        <v>0</v>
      </c>
      <c r="E62" s="3" t="s">
        <v>17</v>
      </c>
      <c r="F62" s="3" t="s">
        <v>17</v>
      </c>
      <c r="G62" s="3" t="s">
        <v>18</v>
      </c>
      <c r="H62" s="3" t="str">
        <f t="shared" si="65"/>
        <v>0</v>
      </c>
      <c r="I62" s="3" t="str">
        <f t="shared" si="65"/>
        <v>0</v>
      </c>
      <c r="J62" s="3" t="str">
        <f>"5"</f>
        <v>5</v>
      </c>
      <c r="K62" s="3" t="str">
        <f>"5804.8"</f>
        <v>5804.8</v>
      </c>
      <c r="L62" s="3" t="str">
        <f>"3482.88"</f>
        <v>3482.88</v>
      </c>
      <c r="M62" s="3" t="str">
        <f t="shared" si="1"/>
        <v>20240516</v>
      </c>
      <c r="N62" s="3" t="s">
        <v>136</v>
      </c>
      <c r="O62" s="3"/>
    </row>
    <row r="63" spans="1:15">
      <c r="A63" s="3" t="str">
        <f>"661506219010400"</f>
        <v>661506219010400</v>
      </c>
      <c r="B63" s="3" t="s">
        <v>137</v>
      </c>
      <c r="C63" s="3" t="s">
        <v>16</v>
      </c>
      <c r="D63" s="3">
        <v>0.05</v>
      </c>
      <c r="E63" s="3" t="s">
        <v>17</v>
      </c>
      <c r="F63" s="3" t="s">
        <v>17</v>
      </c>
      <c r="G63" s="3" t="s">
        <v>18</v>
      </c>
      <c r="H63" s="3" t="str">
        <f>"0"</f>
        <v>0</v>
      </c>
      <c r="I63" s="3" t="str">
        <f>"0"</f>
        <v>0</v>
      </c>
      <c r="J63" s="3" t="str">
        <f>"60"</f>
        <v>60</v>
      </c>
      <c r="K63" s="3" t="str">
        <f>"39580.34"</f>
        <v>39580.34</v>
      </c>
      <c r="L63" s="3" t="str">
        <f>"23748.2"</f>
        <v>23748.2</v>
      </c>
      <c r="M63" s="3" t="str">
        <f t="shared" si="1"/>
        <v>20240516</v>
      </c>
      <c r="N63" s="3" t="s">
        <v>138</v>
      </c>
      <c r="O63" s="3"/>
    </row>
    <row r="64" spans="1:15">
      <c r="A64" s="3" t="str">
        <f>"661506218977100"</f>
        <v>661506218977100</v>
      </c>
      <c r="B64" s="3" t="s">
        <v>139</v>
      </c>
      <c r="C64" s="3" t="s">
        <v>16</v>
      </c>
      <c r="D64" s="3" t="str">
        <f t="shared" ref="D64:I64" si="66">"0"</f>
        <v>0</v>
      </c>
      <c r="E64" s="3" t="s">
        <v>17</v>
      </c>
      <c r="F64" s="3" t="s">
        <v>17</v>
      </c>
      <c r="G64" s="3" t="s">
        <v>140</v>
      </c>
      <c r="H64" s="3" t="str">
        <f t="shared" si="66"/>
        <v>0</v>
      </c>
      <c r="I64" s="3" t="str">
        <f t="shared" si="66"/>
        <v>0</v>
      </c>
      <c r="J64" s="3" t="str">
        <f>"33"</f>
        <v>33</v>
      </c>
      <c r="K64" s="3" t="str">
        <f>"17985.62"</f>
        <v>17985.62</v>
      </c>
      <c r="L64" s="3" t="str">
        <f>"10791.37"</f>
        <v>10791.37</v>
      </c>
      <c r="M64" s="3" t="str">
        <f t="shared" si="1"/>
        <v>20240516</v>
      </c>
      <c r="N64" s="3" t="s">
        <v>141</v>
      </c>
      <c r="O64" s="3"/>
    </row>
    <row r="65" spans="1:15">
      <c r="A65" s="3" t="str">
        <f>"661506218962400"</f>
        <v>661506218962400</v>
      </c>
      <c r="B65" s="3" t="s">
        <v>142</v>
      </c>
      <c r="C65" s="3" t="s">
        <v>16</v>
      </c>
      <c r="D65" s="3" t="str">
        <f t="shared" ref="D65:I65" si="67">"0"</f>
        <v>0</v>
      </c>
      <c r="E65" s="3" t="s">
        <v>17</v>
      </c>
      <c r="F65" s="3" t="s">
        <v>17</v>
      </c>
      <c r="G65" s="3" t="s">
        <v>25</v>
      </c>
      <c r="H65" s="3" t="str">
        <f t="shared" si="67"/>
        <v>0</v>
      </c>
      <c r="I65" s="3" t="str">
        <f t="shared" si="67"/>
        <v>0</v>
      </c>
      <c r="J65" s="3" t="str">
        <f>"2"</f>
        <v>2</v>
      </c>
      <c r="K65" s="3" t="str">
        <f>"1075.68"</f>
        <v>1075.68</v>
      </c>
      <c r="L65" s="3" t="str">
        <f>"645.41"</f>
        <v>645.41</v>
      </c>
      <c r="M65" s="3" t="str">
        <f t="shared" si="1"/>
        <v>20240516</v>
      </c>
      <c r="N65" s="3" t="s">
        <v>143</v>
      </c>
      <c r="O65" s="3"/>
    </row>
    <row r="66" spans="1:15">
      <c r="A66" s="3" t="str">
        <f>"661506218934400"</f>
        <v>661506218934400</v>
      </c>
      <c r="B66" s="3" t="s">
        <v>144</v>
      </c>
      <c r="C66" s="3"/>
      <c r="D66" s="3" t="str">
        <f t="shared" ref="D66:I66" si="68">"0"</f>
        <v>0</v>
      </c>
      <c r="E66" s="3" t="s">
        <v>17</v>
      </c>
      <c r="F66" s="3" t="s">
        <v>17</v>
      </c>
      <c r="G66" s="3" t="s">
        <v>18</v>
      </c>
      <c r="H66" s="3" t="str">
        <f t="shared" si="68"/>
        <v>0</v>
      </c>
      <c r="I66" s="3" t="str">
        <f t="shared" si="68"/>
        <v>0</v>
      </c>
      <c r="J66" s="3" t="str">
        <f>"3"</f>
        <v>3</v>
      </c>
      <c r="K66" s="3" t="str">
        <f>"985.96"</f>
        <v>985.96</v>
      </c>
      <c r="L66" s="3" t="str">
        <f>"591.58"</f>
        <v>591.58</v>
      </c>
      <c r="M66" s="3" t="str">
        <f t="shared" si="1"/>
        <v>20240516</v>
      </c>
      <c r="N66" s="3" t="s">
        <v>145</v>
      </c>
      <c r="O66" s="3"/>
    </row>
    <row r="67" spans="1:15">
      <c r="A67" s="3" t="str">
        <f>"661506218924700"</f>
        <v>661506218924700</v>
      </c>
      <c r="B67" s="3" t="s">
        <v>146</v>
      </c>
      <c r="C67" s="3" t="s">
        <v>16</v>
      </c>
      <c r="D67" s="3" t="str">
        <f t="shared" ref="D67:I67" si="69">"0"</f>
        <v>0</v>
      </c>
      <c r="E67" s="3" t="s">
        <v>17</v>
      </c>
      <c r="F67" s="3" t="s">
        <v>17</v>
      </c>
      <c r="G67" s="3" t="s">
        <v>25</v>
      </c>
      <c r="H67" s="3" t="str">
        <f t="shared" si="69"/>
        <v>0</v>
      </c>
      <c r="I67" s="3" t="str">
        <f t="shared" si="69"/>
        <v>0</v>
      </c>
      <c r="J67" s="3" t="str">
        <f>"6"</f>
        <v>6</v>
      </c>
      <c r="K67" s="3" t="str">
        <f>"3927.84"</f>
        <v>3927.84</v>
      </c>
      <c r="L67" s="3" t="str">
        <f>"2356.7"</f>
        <v>2356.7</v>
      </c>
      <c r="M67" s="3" t="str">
        <f t="shared" ref="M67:M130" si="70">"20240516"</f>
        <v>20240516</v>
      </c>
      <c r="N67" s="3" t="str">
        <f>"911506210895639259"</f>
        <v>911506210895639259</v>
      </c>
      <c r="O67" s="3"/>
    </row>
    <row r="68" spans="1:15">
      <c r="A68" s="3" t="str">
        <f>"661506218922400"</f>
        <v>661506218922400</v>
      </c>
      <c r="B68" s="3" t="s">
        <v>147</v>
      </c>
      <c r="C68" s="3" t="s">
        <v>16</v>
      </c>
      <c r="D68" s="3" t="str">
        <f t="shared" ref="D68:I68" si="71">"0"</f>
        <v>0</v>
      </c>
      <c r="E68" s="3" t="s">
        <v>17</v>
      </c>
      <c r="F68" s="3" t="s">
        <v>17</v>
      </c>
      <c r="G68" s="3" t="s">
        <v>25</v>
      </c>
      <c r="H68" s="3" t="str">
        <f t="shared" si="71"/>
        <v>0</v>
      </c>
      <c r="I68" s="3" t="str">
        <f t="shared" si="71"/>
        <v>0</v>
      </c>
      <c r="J68" s="3" t="str">
        <f>"1"</f>
        <v>1</v>
      </c>
      <c r="K68" s="3" t="str">
        <f>"537.84"</f>
        <v>537.84</v>
      </c>
      <c r="L68" s="3" t="str">
        <f>"322.7"</f>
        <v>322.7</v>
      </c>
      <c r="M68" s="3" t="str">
        <f t="shared" si="70"/>
        <v>20240516</v>
      </c>
      <c r="N68" s="3" t="s">
        <v>148</v>
      </c>
      <c r="O68" s="3"/>
    </row>
    <row r="69" spans="1:15">
      <c r="A69" s="3" t="str">
        <f>"661506218843500"</f>
        <v>661506218843500</v>
      </c>
      <c r="B69" s="3" t="s">
        <v>149</v>
      </c>
      <c r="C69" s="3" t="s">
        <v>16</v>
      </c>
      <c r="D69" s="3" t="str">
        <f t="shared" ref="D69:I69" si="72">"0"</f>
        <v>0</v>
      </c>
      <c r="E69" s="3" t="s">
        <v>17</v>
      </c>
      <c r="F69" s="3" t="s">
        <v>17</v>
      </c>
      <c r="G69" s="3" t="s">
        <v>25</v>
      </c>
      <c r="H69" s="3" t="str">
        <f t="shared" si="72"/>
        <v>0</v>
      </c>
      <c r="I69" s="3" t="str">
        <f t="shared" si="72"/>
        <v>0</v>
      </c>
      <c r="J69" s="3" t="str">
        <f>"1"</f>
        <v>1</v>
      </c>
      <c r="K69" s="3" t="str">
        <f>"448.2"</f>
        <v>448.2</v>
      </c>
      <c r="L69" s="3" t="str">
        <f>"268.92"</f>
        <v>268.92</v>
      </c>
      <c r="M69" s="3" t="str">
        <f t="shared" si="70"/>
        <v>20240516</v>
      </c>
      <c r="N69" s="3" t="s">
        <v>150</v>
      </c>
      <c r="O69" s="3"/>
    </row>
    <row r="70" spans="1:15">
      <c r="A70" s="3" t="str">
        <f>"661506218814400"</f>
        <v>661506218814400</v>
      </c>
      <c r="B70" s="3" t="s">
        <v>151</v>
      </c>
      <c r="C70" s="3" t="s">
        <v>16</v>
      </c>
      <c r="D70" s="3" t="str">
        <f t="shared" ref="D70:I70" si="73">"0"</f>
        <v>0</v>
      </c>
      <c r="E70" s="3" t="s">
        <v>17</v>
      </c>
      <c r="F70" s="3" t="s">
        <v>17</v>
      </c>
      <c r="G70" s="3" t="s">
        <v>25</v>
      </c>
      <c r="H70" s="3" t="str">
        <f t="shared" si="73"/>
        <v>0</v>
      </c>
      <c r="I70" s="3" t="str">
        <f t="shared" si="73"/>
        <v>0</v>
      </c>
      <c r="J70" s="3" t="str">
        <f t="shared" ref="J70:J73" si="74">"2"</f>
        <v>2</v>
      </c>
      <c r="K70" s="3" t="str">
        <f>"1075.68"</f>
        <v>1075.68</v>
      </c>
      <c r="L70" s="3" t="str">
        <f>"645.41"</f>
        <v>645.41</v>
      </c>
      <c r="M70" s="3" t="str">
        <f t="shared" si="70"/>
        <v>20240516</v>
      </c>
      <c r="N70" s="3" t="s">
        <v>152</v>
      </c>
      <c r="O70" s="3"/>
    </row>
    <row r="71" spans="1:15">
      <c r="A71" s="3" t="str">
        <f>"661506218808400"</f>
        <v>661506218808400</v>
      </c>
      <c r="B71" s="3" t="s">
        <v>153</v>
      </c>
      <c r="C71" s="3" t="s">
        <v>16</v>
      </c>
      <c r="D71" s="3" t="str">
        <f t="shared" ref="D71:I71" si="75">"0"</f>
        <v>0</v>
      </c>
      <c r="E71" s="3" t="s">
        <v>17</v>
      </c>
      <c r="F71" s="3" t="s">
        <v>17</v>
      </c>
      <c r="G71" s="3" t="s">
        <v>18</v>
      </c>
      <c r="H71" s="3" t="str">
        <f t="shared" si="75"/>
        <v>0</v>
      </c>
      <c r="I71" s="3" t="str">
        <f t="shared" si="75"/>
        <v>0</v>
      </c>
      <c r="J71" s="3" t="str">
        <f>"4"</f>
        <v>4</v>
      </c>
      <c r="K71" s="3" t="str">
        <f>"2223.88"</f>
        <v>2223.88</v>
      </c>
      <c r="L71" s="3" t="str">
        <f>"1334.33"</f>
        <v>1334.33</v>
      </c>
      <c r="M71" s="3" t="str">
        <f t="shared" si="70"/>
        <v>20240516</v>
      </c>
      <c r="N71" s="3" t="s">
        <v>154</v>
      </c>
      <c r="O71" s="3"/>
    </row>
    <row r="72" spans="1:15">
      <c r="A72" s="3" t="str">
        <f>"661506218798400"</f>
        <v>661506218798400</v>
      </c>
      <c r="B72" s="3" t="s">
        <v>155</v>
      </c>
      <c r="C72" s="3" t="s">
        <v>16</v>
      </c>
      <c r="D72" s="3" t="str">
        <f t="shared" ref="D72:I72" si="76">"0"</f>
        <v>0</v>
      </c>
      <c r="E72" s="3" t="s">
        <v>17</v>
      </c>
      <c r="F72" s="3" t="s">
        <v>17</v>
      </c>
      <c r="G72" s="3" t="s">
        <v>25</v>
      </c>
      <c r="H72" s="3" t="str">
        <f t="shared" si="76"/>
        <v>0</v>
      </c>
      <c r="I72" s="3" t="str">
        <f t="shared" si="76"/>
        <v>0</v>
      </c>
      <c r="J72" s="3" t="str">
        <f t="shared" si="74"/>
        <v>2</v>
      </c>
      <c r="K72" s="3" t="str">
        <f>"1200"</f>
        <v>1200</v>
      </c>
      <c r="L72" s="3" t="str">
        <f>"720"</f>
        <v>720</v>
      </c>
      <c r="M72" s="3" t="str">
        <f t="shared" si="70"/>
        <v>20240516</v>
      </c>
      <c r="N72" s="3" t="s">
        <v>156</v>
      </c>
      <c r="O72" s="3"/>
    </row>
    <row r="73" spans="1:15">
      <c r="A73" s="3" t="str">
        <f>"661506218796600"</f>
        <v>661506218796600</v>
      </c>
      <c r="B73" s="3" t="s">
        <v>157</v>
      </c>
      <c r="C73" s="3" t="s">
        <v>16</v>
      </c>
      <c r="D73" s="3" t="str">
        <f t="shared" ref="D73:I73" si="77">"0"</f>
        <v>0</v>
      </c>
      <c r="E73" s="3" t="s">
        <v>17</v>
      </c>
      <c r="F73" s="3" t="s">
        <v>17</v>
      </c>
      <c r="G73" s="3" t="s">
        <v>25</v>
      </c>
      <c r="H73" s="3" t="str">
        <f t="shared" si="77"/>
        <v>0</v>
      </c>
      <c r="I73" s="3" t="str">
        <f t="shared" si="77"/>
        <v>0</v>
      </c>
      <c r="J73" s="3" t="str">
        <f t="shared" si="74"/>
        <v>2</v>
      </c>
      <c r="K73" s="3" t="str">
        <f>"1075.68"</f>
        <v>1075.68</v>
      </c>
      <c r="L73" s="3" t="str">
        <f>"645.41"</f>
        <v>645.41</v>
      </c>
      <c r="M73" s="3" t="str">
        <f t="shared" si="70"/>
        <v>20240516</v>
      </c>
      <c r="N73" s="3" t="s">
        <v>158</v>
      </c>
      <c r="O73" s="3"/>
    </row>
    <row r="74" spans="1:15">
      <c r="A74" s="3" t="str">
        <f>"661506218796400"</f>
        <v>661506218796400</v>
      </c>
      <c r="B74" s="3" t="s">
        <v>159</v>
      </c>
      <c r="C74" s="3"/>
      <c r="D74" s="3" t="str">
        <f t="shared" ref="D74:I74" si="78">"0"</f>
        <v>0</v>
      </c>
      <c r="E74" s="3" t="s">
        <v>17</v>
      </c>
      <c r="F74" s="3" t="s">
        <v>17</v>
      </c>
      <c r="G74" s="3" t="s">
        <v>18</v>
      </c>
      <c r="H74" s="3" t="str">
        <f t="shared" si="78"/>
        <v>0</v>
      </c>
      <c r="I74" s="3" t="str">
        <f t="shared" si="78"/>
        <v>0</v>
      </c>
      <c r="J74" s="3" t="str">
        <f>"6"</f>
        <v>6</v>
      </c>
      <c r="K74" s="3" t="str">
        <f>"3227.04"</f>
        <v>3227.04</v>
      </c>
      <c r="L74" s="3" t="str">
        <f>"1936.22"</f>
        <v>1936.22</v>
      </c>
      <c r="M74" s="3" t="str">
        <f t="shared" si="70"/>
        <v>20240516</v>
      </c>
      <c r="N74" s="3" t="s">
        <v>160</v>
      </c>
      <c r="O74" s="3"/>
    </row>
    <row r="75" spans="1:15">
      <c r="A75" s="3" t="str">
        <f>"661506218788600"</f>
        <v>661506218788600</v>
      </c>
      <c r="B75" s="3" t="s">
        <v>161</v>
      </c>
      <c r="C75" s="3" t="s">
        <v>16</v>
      </c>
      <c r="D75" s="3" t="str">
        <f t="shared" ref="D75:I75" si="79">"0"</f>
        <v>0</v>
      </c>
      <c r="E75" s="3" t="s">
        <v>17</v>
      </c>
      <c r="F75" s="3" t="s">
        <v>17</v>
      </c>
      <c r="G75" s="3" t="s">
        <v>25</v>
      </c>
      <c r="H75" s="3" t="str">
        <f t="shared" si="79"/>
        <v>0</v>
      </c>
      <c r="I75" s="3" t="str">
        <f t="shared" si="79"/>
        <v>0</v>
      </c>
      <c r="J75" s="3" t="str">
        <f>"5"</f>
        <v>5</v>
      </c>
      <c r="K75" s="3" t="str">
        <f>"3047.76"</f>
        <v>3047.76</v>
      </c>
      <c r="L75" s="3" t="str">
        <f>"1828.66"</f>
        <v>1828.66</v>
      </c>
      <c r="M75" s="3" t="str">
        <f t="shared" si="70"/>
        <v>20240516</v>
      </c>
      <c r="N75" s="3" t="s">
        <v>162</v>
      </c>
      <c r="O75" s="3"/>
    </row>
    <row r="76" spans="1:15">
      <c r="A76" s="3" t="str">
        <f>"661506218778400"</f>
        <v>661506218778400</v>
      </c>
      <c r="B76" s="3" t="s">
        <v>163</v>
      </c>
      <c r="C76" s="3" t="s">
        <v>16</v>
      </c>
      <c r="D76" s="3" t="str">
        <f t="shared" ref="D76:I76" si="80">"0"</f>
        <v>0</v>
      </c>
      <c r="E76" s="3" t="s">
        <v>17</v>
      </c>
      <c r="F76" s="3" t="s">
        <v>17</v>
      </c>
      <c r="G76" s="3" t="s">
        <v>25</v>
      </c>
      <c r="H76" s="3" t="str">
        <f t="shared" si="80"/>
        <v>0</v>
      </c>
      <c r="I76" s="3" t="str">
        <f t="shared" si="80"/>
        <v>0</v>
      </c>
      <c r="J76" s="3" t="str">
        <f t="shared" ref="J76:J79" si="81">"3"</f>
        <v>3</v>
      </c>
      <c r="K76" s="3" t="str">
        <f>"2542.16"</f>
        <v>2542.16</v>
      </c>
      <c r="L76" s="3" t="str">
        <f>"1525.3"</f>
        <v>1525.3</v>
      </c>
      <c r="M76" s="3" t="str">
        <f t="shared" si="70"/>
        <v>20240516</v>
      </c>
      <c r="N76" s="3" t="s">
        <v>164</v>
      </c>
      <c r="O76" s="3"/>
    </row>
    <row r="77" spans="1:15">
      <c r="A77" s="3" t="str">
        <f>"661506218768400"</f>
        <v>661506218768400</v>
      </c>
      <c r="B77" s="3" t="s">
        <v>165</v>
      </c>
      <c r="C77" s="3"/>
      <c r="D77" s="3" t="str">
        <f t="shared" ref="D77:I77" si="82">"0"</f>
        <v>0</v>
      </c>
      <c r="E77" s="3" t="s">
        <v>17</v>
      </c>
      <c r="F77" s="3" t="s">
        <v>17</v>
      </c>
      <c r="G77" s="3" t="s">
        <v>16</v>
      </c>
      <c r="H77" s="3" t="str">
        <f t="shared" si="82"/>
        <v>0</v>
      </c>
      <c r="I77" s="3" t="str">
        <f t="shared" si="82"/>
        <v>0</v>
      </c>
      <c r="J77" s="3" t="str">
        <f>"13"</f>
        <v>13</v>
      </c>
      <c r="K77" s="3" t="str">
        <f>"13094.96"</f>
        <v>13094.96</v>
      </c>
      <c r="L77" s="3" t="str">
        <f>"3928.49"</f>
        <v>3928.49</v>
      </c>
      <c r="M77" s="3" t="str">
        <f t="shared" si="70"/>
        <v>20240516</v>
      </c>
      <c r="N77" s="3" t="s">
        <v>166</v>
      </c>
      <c r="O77" s="3"/>
    </row>
    <row r="78" spans="1:15">
      <c r="A78" s="3" t="str">
        <f>"661506218746400"</f>
        <v>661506218746400</v>
      </c>
      <c r="B78" s="3" t="s">
        <v>167</v>
      </c>
      <c r="C78" s="3" t="s">
        <v>16</v>
      </c>
      <c r="D78" s="3" t="str">
        <f t="shared" ref="D78:I78" si="83">"0"</f>
        <v>0</v>
      </c>
      <c r="E78" s="3" t="s">
        <v>17</v>
      </c>
      <c r="F78" s="3" t="s">
        <v>17</v>
      </c>
      <c r="G78" s="3" t="s">
        <v>25</v>
      </c>
      <c r="H78" s="3" t="str">
        <f t="shared" si="83"/>
        <v>0</v>
      </c>
      <c r="I78" s="3" t="str">
        <f t="shared" si="83"/>
        <v>0</v>
      </c>
      <c r="J78" s="3" t="str">
        <f t="shared" si="81"/>
        <v>3</v>
      </c>
      <c r="K78" s="3" t="str">
        <f>"2217.84"</f>
        <v>2217.84</v>
      </c>
      <c r="L78" s="3" t="str">
        <f>"1330.7"</f>
        <v>1330.7</v>
      </c>
      <c r="M78" s="3" t="str">
        <f t="shared" si="70"/>
        <v>20240516</v>
      </c>
      <c r="N78" s="3" t="s">
        <v>168</v>
      </c>
      <c r="O78" s="3"/>
    </row>
    <row r="79" spans="1:15">
      <c r="A79" s="3" t="str">
        <f>"661506218712400"</f>
        <v>661506218712400</v>
      </c>
      <c r="B79" s="3" t="s">
        <v>169</v>
      </c>
      <c r="C79" s="3" t="s">
        <v>16</v>
      </c>
      <c r="D79" s="3" t="str">
        <f t="shared" ref="D79:I79" si="84">"0"</f>
        <v>0</v>
      </c>
      <c r="E79" s="3" t="s">
        <v>17</v>
      </c>
      <c r="F79" s="3" t="s">
        <v>17</v>
      </c>
      <c r="G79" s="3" t="s">
        <v>25</v>
      </c>
      <c r="H79" s="3" t="str">
        <f t="shared" si="84"/>
        <v>0</v>
      </c>
      <c r="I79" s="3" t="str">
        <f t="shared" si="84"/>
        <v>0</v>
      </c>
      <c r="J79" s="3" t="str">
        <f t="shared" si="81"/>
        <v>3</v>
      </c>
      <c r="K79" s="3" t="str">
        <f>"2061.72"</f>
        <v>2061.72</v>
      </c>
      <c r="L79" s="3" t="str">
        <f>"1237.03"</f>
        <v>1237.03</v>
      </c>
      <c r="M79" s="3" t="str">
        <f t="shared" si="70"/>
        <v>20240516</v>
      </c>
      <c r="N79" s="3" t="s">
        <v>170</v>
      </c>
      <c r="O79" s="3"/>
    </row>
    <row r="80" spans="1:15">
      <c r="A80" s="3" t="str">
        <f>"661506218666400"</f>
        <v>661506218666400</v>
      </c>
      <c r="B80" s="3" t="s">
        <v>171</v>
      </c>
      <c r="C80" s="3" t="s">
        <v>16</v>
      </c>
      <c r="D80" s="3" t="str">
        <f t="shared" ref="D80:I80" si="85">"0"</f>
        <v>0</v>
      </c>
      <c r="E80" s="3" t="s">
        <v>17</v>
      </c>
      <c r="F80" s="3" t="s">
        <v>17</v>
      </c>
      <c r="G80" s="3" t="s">
        <v>25</v>
      </c>
      <c r="H80" s="3" t="str">
        <f t="shared" si="85"/>
        <v>0</v>
      </c>
      <c r="I80" s="3" t="str">
        <f t="shared" si="85"/>
        <v>0</v>
      </c>
      <c r="J80" s="3" t="str">
        <f>"4"</f>
        <v>4</v>
      </c>
      <c r="K80" s="3" t="str">
        <f>"2662.6"</f>
        <v>2662.6</v>
      </c>
      <c r="L80" s="3" t="str">
        <f>"1597.56"</f>
        <v>1597.56</v>
      </c>
      <c r="M80" s="3" t="str">
        <f t="shared" si="70"/>
        <v>20240516</v>
      </c>
      <c r="N80" s="3" t="s">
        <v>172</v>
      </c>
      <c r="O80" s="3"/>
    </row>
    <row r="81" spans="1:15">
      <c r="A81" s="3" t="str">
        <f>"661506218628600"</f>
        <v>661506218628600</v>
      </c>
      <c r="B81" s="3" t="s">
        <v>173</v>
      </c>
      <c r="C81" s="3" t="s">
        <v>16</v>
      </c>
      <c r="D81" s="3" t="str">
        <f t="shared" ref="D81:I81" si="86">"0"</f>
        <v>0</v>
      </c>
      <c r="E81" s="3" t="s">
        <v>17</v>
      </c>
      <c r="F81" s="3" t="s">
        <v>17</v>
      </c>
      <c r="G81" s="3" t="s">
        <v>18</v>
      </c>
      <c r="H81" s="3" t="str">
        <f t="shared" si="86"/>
        <v>0</v>
      </c>
      <c r="I81" s="3" t="str">
        <f t="shared" si="86"/>
        <v>0</v>
      </c>
      <c r="J81" s="3" t="str">
        <f>"19"</f>
        <v>19</v>
      </c>
      <c r="K81" s="3" t="str">
        <f>"13666.7"</f>
        <v>13666.7</v>
      </c>
      <c r="L81" s="3" t="str">
        <f>"8200.02"</f>
        <v>8200.02</v>
      </c>
      <c r="M81" s="3" t="str">
        <f t="shared" si="70"/>
        <v>20240516</v>
      </c>
      <c r="N81" s="3" t="s">
        <v>174</v>
      </c>
      <c r="O81" s="3"/>
    </row>
    <row r="82" spans="1:15">
      <c r="A82" s="3" t="str">
        <f>"661506218574400"</f>
        <v>661506218574400</v>
      </c>
      <c r="B82" s="3" t="s">
        <v>175</v>
      </c>
      <c r="C82" s="3" t="s">
        <v>16</v>
      </c>
      <c r="D82" s="3" t="str">
        <f t="shared" ref="D82:I82" si="87">"0"</f>
        <v>0</v>
      </c>
      <c r="E82" s="3" t="s">
        <v>17</v>
      </c>
      <c r="F82" s="3" t="s">
        <v>17</v>
      </c>
      <c r="G82" s="3" t="s">
        <v>25</v>
      </c>
      <c r="H82" s="3" t="str">
        <f t="shared" si="87"/>
        <v>0</v>
      </c>
      <c r="I82" s="3" t="str">
        <f t="shared" si="87"/>
        <v>0</v>
      </c>
      <c r="J82" s="3" t="str">
        <f t="shared" ref="J82:J86" si="88">"2"</f>
        <v>2</v>
      </c>
      <c r="K82" s="3" t="str">
        <f>"1075.68"</f>
        <v>1075.68</v>
      </c>
      <c r="L82" s="3" t="str">
        <f>"645.41"</f>
        <v>645.41</v>
      </c>
      <c r="M82" s="3" t="str">
        <f t="shared" si="70"/>
        <v>20240516</v>
      </c>
      <c r="N82" s="3" t="str">
        <f>"911506213994885962"</f>
        <v>911506213994885962</v>
      </c>
      <c r="O82" s="3"/>
    </row>
    <row r="83" spans="1:15">
      <c r="A83" s="3" t="str">
        <f>"661506218570500"</f>
        <v>661506218570500</v>
      </c>
      <c r="B83" s="3" t="s">
        <v>176</v>
      </c>
      <c r="C83" s="3" t="s">
        <v>16</v>
      </c>
      <c r="D83" s="3">
        <v>0.1</v>
      </c>
      <c r="E83" s="3" t="s">
        <v>17</v>
      </c>
      <c r="F83" s="3" t="s">
        <v>17</v>
      </c>
      <c r="G83" s="3" t="s">
        <v>25</v>
      </c>
      <c r="H83" s="3" t="str">
        <f>"0"</f>
        <v>0</v>
      </c>
      <c r="I83" s="3" t="str">
        <f>"0"</f>
        <v>0</v>
      </c>
      <c r="J83" s="3" t="str">
        <f>"10"</f>
        <v>10</v>
      </c>
      <c r="K83" s="3" t="str">
        <f>"5799.12"</f>
        <v>5799.12</v>
      </c>
      <c r="L83" s="3" t="str">
        <f>"3479.47"</f>
        <v>3479.47</v>
      </c>
      <c r="M83" s="3" t="str">
        <f t="shared" si="70"/>
        <v>20240516</v>
      </c>
      <c r="N83" s="3" t="s">
        <v>177</v>
      </c>
      <c r="O83" s="3"/>
    </row>
    <row r="84" spans="1:15">
      <c r="A84" s="3" t="str">
        <f>"661506218570400"</f>
        <v>661506218570400</v>
      </c>
      <c r="B84" s="3" t="s">
        <v>178</v>
      </c>
      <c r="C84" s="3" t="s">
        <v>16</v>
      </c>
      <c r="D84" s="3" t="str">
        <f t="shared" ref="D84:I84" si="89">"0"</f>
        <v>0</v>
      </c>
      <c r="E84" s="3" t="s">
        <v>17</v>
      </c>
      <c r="F84" s="3" t="s">
        <v>17</v>
      </c>
      <c r="G84" s="3" t="s">
        <v>25</v>
      </c>
      <c r="H84" s="3" t="str">
        <f t="shared" si="89"/>
        <v>0</v>
      </c>
      <c r="I84" s="3" t="str">
        <f t="shared" si="89"/>
        <v>0</v>
      </c>
      <c r="J84" s="3" t="str">
        <f>"8"</f>
        <v>8</v>
      </c>
      <c r="K84" s="3" t="str">
        <f>"4364.88"</f>
        <v>4364.88</v>
      </c>
      <c r="L84" s="3" t="str">
        <f>"2618.93"</f>
        <v>2618.93</v>
      </c>
      <c r="M84" s="3" t="str">
        <f t="shared" si="70"/>
        <v>20240516</v>
      </c>
      <c r="N84" s="3" t="s">
        <v>179</v>
      </c>
      <c r="O84" s="3"/>
    </row>
    <row r="85" spans="1:15">
      <c r="A85" s="3" t="str">
        <f>"661506218548400"</f>
        <v>661506218548400</v>
      </c>
      <c r="B85" s="3" t="s">
        <v>180</v>
      </c>
      <c r="C85" s="3" t="s">
        <v>16</v>
      </c>
      <c r="D85" s="3" t="str">
        <f t="shared" ref="D85:I85" si="90">"0"</f>
        <v>0</v>
      </c>
      <c r="E85" s="3" t="s">
        <v>17</v>
      </c>
      <c r="F85" s="3" t="s">
        <v>17</v>
      </c>
      <c r="G85" s="3" t="s">
        <v>18</v>
      </c>
      <c r="H85" s="3" t="str">
        <f t="shared" si="90"/>
        <v>0</v>
      </c>
      <c r="I85" s="3" t="str">
        <f t="shared" si="90"/>
        <v>0</v>
      </c>
      <c r="J85" s="3" t="str">
        <f t="shared" si="88"/>
        <v>2</v>
      </c>
      <c r="K85" s="3" t="str">
        <f>"1600"</f>
        <v>1600</v>
      </c>
      <c r="L85" s="3" t="str">
        <f>"960"</f>
        <v>960</v>
      </c>
      <c r="M85" s="3" t="str">
        <f t="shared" si="70"/>
        <v>20240516</v>
      </c>
      <c r="N85" s="3" t="s">
        <v>181</v>
      </c>
      <c r="O85" s="3"/>
    </row>
    <row r="86" spans="1:15">
      <c r="A86" s="3" t="str">
        <f>"661506218526400"</f>
        <v>661506218526400</v>
      </c>
      <c r="B86" s="3" t="s">
        <v>182</v>
      </c>
      <c r="C86" s="3" t="s">
        <v>16</v>
      </c>
      <c r="D86" s="3" t="str">
        <f t="shared" ref="D86:I86" si="91">"0"</f>
        <v>0</v>
      </c>
      <c r="E86" s="3" t="s">
        <v>17</v>
      </c>
      <c r="F86" s="3" t="s">
        <v>17</v>
      </c>
      <c r="G86" s="3" t="s">
        <v>25</v>
      </c>
      <c r="H86" s="3" t="str">
        <f t="shared" si="91"/>
        <v>0</v>
      </c>
      <c r="I86" s="3" t="str">
        <f t="shared" si="91"/>
        <v>0</v>
      </c>
      <c r="J86" s="3" t="str">
        <f t="shared" si="88"/>
        <v>2</v>
      </c>
      <c r="K86" s="3" t="str">
        <f>"1075.68"</f>
        <v>1075.68</v>
      </c>
      <c r="L86" s="3" t="str">
        <f>"645.41"</f>
        <v>645.41</v>
      </c>
      <c r="M86" s="3" t="str">
        <f t="shared" si="70"/>
        <v>20240516</v>
      </c>
      <c r="N86" s="3" t="str">
        <f>"911506213413382101"</f>
        <v>911506213413382101</v>
      </c>
      <c r="O86" s="3"/>
    </row>
    <row r="87" spans="1:15">
      <c r="A87" s="3" t="str">
        <f>"661506218524500"</f>
        <v>661506218524500</v>
      </c>
      <c r="B87" s="3" t="s">
        <v>183</v>
      </c>
      <c r="C87" s="3" t="s">
        <v>16</v>
      </c>
      <c r="D87" s="3" t="str">
        <f t="shared" ref="D87:I87" si="92">"0"</f>
        <v>0</v>
      </c>
      <c r="E87" s="3" t="s">
        <v>17</v>
      </c>
      <c r="F87" s="3" t="s">
        <v>17</v>
      </c>
      <c r="G87" s="3" t="s">
        <v>25</v>
      </c>
      <c r="H87" s="3" t="str">
        <f t="shared" si="92"/>
        <v>0</v>
      </c>
      <c r="I87" s="3" t="str">
        <f t="shared" si="92"/>
        <v>0</v>
      </c>
      <c r="J87" s="3" t="str">
        <f>"4"</f>
        <v>4</v>
      </c>
      <c r="K87" s="3" t="str">
        <f>"2151.36"</f>
        <v>2151.36</v>
      </c>
      <c r="L87" s="3" t="str">
        <f>"1290.82"</f>
        <v>1290.82</v>
      </c>
      <c r="M87" s="3" t="str">
        <f t="shared" si="70"/>
        <v>20240516</v>
      </c>
      <c r="N87" s="3" t="s">
        <v>184</v>
      </c>
      <c r="O87" s="3"/>
    </row>
    <row r="88" spans="1:15">
      <c r="A88" s="3" t="str">
        <f>"661506218520400"</f>
        <v>661506218520400</v>
      </c>
      <c r="B88" s="3" t="s">
        <v>185</v>
      </c>
      <c r="C88" s="3"/>
      <c r="D88" s="3" t="str">
        <f>"0"</f>
        <v>0</v>
      </c>
      <c r="E88" s="3" t="s">
        <v>17</v>
      </c>
      <c r="F88" s="3" t="s">
        <v>17</v>
      </c>
      <c r="G88" s="3" t="s">
        <v>25</v>
      </c>
      <c r="H88" s="3"/>
      <c r="I88" s="3" t="str">
        <f>"0"</f>
        <v>0</v>
      </c>
      <c r="J88" s="3" t="str">
        <f t="shared" ref="J88:J91" si="93">"1"</f>
        <v>1</v>
      </c>
      <c r="K88" s="3" t="str">
        <f t="shared" ref="K88:K93" si="94">"537.84"</f>
        <v>537.84</v>
      </c>
      <c r="L88" s="3" t="str">
        <f t="shared" ref="L88:L93" si="95">"322.7"</f>
        <v>322.7</v>
      </c>
      <c r="M88" s="3" t="str">
        <f t="shared" si="70"/>
        <v>20240516</v>
      </c>
      <c r="N88" s="3" t="s">
        <v>186</v>
      </c>
      <c r="O88" s="3"/>
    </row>
    <row r="89" spans="1:15">
      <c r="A89" s="3" t="str">
        <f>"661506218500700"</f>
        <v>661506218500700</v>
      </c>
      <c r="B89" s="3" t="s">
        <v>187</v>
      </c>
      <c r="C89" s="3" t="s">
        <v>16</v>
      </c>
      <c r="D89" s="3" t="str">
        <f t="shared" ref="D89:I89" si="96">"0"</f>
        <v>0</v>
      </c>
      <c r="E89" s="3" t="s">
        <v>17</v>
      </c>
      <c r="F89" s="3" t="s">
        <v>17</v>
      </c>
      <c r="G89" s="3" t="s">
        <v>25</v>
      </c>
      <c r="H89" s="3" t="str">
        <f t="shared" si="96"/>
        <v>0</v>
      </c>
      <c r="I89" s="3" t="str">
        <f t="shared" si="96"/>
        <v>0</v>
      </c>
      <c r="J89" s="3" t="str">
        <f t="shared" si="93"/>
        <v>1</v>
      </c>
      <c r="K89" s="3" t="str">
        <f>"717.12"</f>
        <v>717.12</v>
      </c>
      <c r="L89" s="3" t="str">
        <f>"430.27"</f>
        <v>430.27</v>
      </c>
      <c r="M89" s="3" t="str">
        <f t="shared" si="70"/>
        <v>20240516</v>
      </c>
      <c r="N89" s="3" t="s">
        <v>188</v>
      </c>
      <c r="O89" s="3"/>
    </row>
    <row r="90" spans="1:15">
      <c r="A90" s="3" t="str">
        <f>"661506218500400"</f>
        <v>661506218500400</v>
      </c>
      <c r="B90" s="3" t="s">
        <v>189</v>
      </c>
      <c r="C90" s="3"/>
      <c r="D90" s="3" t="str">
        <f t="shared" ref="D90:I90" si="97">"0"</f>
        <v>0</v>
      </c>
      <c r="E90" s="3" t="s">
        <v>17</v>
      </c>
      <c r="F90" s="3" t="s">
        <v>17</v>
      </c>
      <c r="G90" s="3" t="s">
        <v>25</v>
      </c>
      <c r="H90" s="3" t="str">
        <f t="shared" si="97"/>
        <v>0</v>
      </c>
      <c r="I90" s="3" t="str">
        <f t="shared" si="97"/>
        <v>0</v>
      </c>
      <c r="J90" s="3" t="str">
        <f>"10"</f>
        <v>10</v>
      </c>
      <c r="K90" s="3" t="str">
        <f>"5939.28"</f>
        <v>5939.28</v>
      </c>
      <c r="L90" s="3" t="str">
        <f>"3563.57"</f>
        <v>3563.57</v>
      </c>
      <c r="M90" s="3" t="str">
        <f t="shared" si="70"/>
        <v>20240516</v>
      </c>
      <c r="N90" s="3" t="s">
        <v>190</v>
      </c>
      <c r="O90" s="3"/>
    </row>
    <row r="91" spans="1:15">
      <c r="A91" s="3" t="str">
        <f>"661506218498500"</f>
        <v>661506218498500</v>
      </c>
      <c r="B91" s="3" t="s">
        <v>191</v>
      </c>
      <c r="C91" s="3" t="s">
        <v>16</v>
      </c>
      <c r="D91" s="3" t="str">
        <f t="shared" ref="D91:I91" si="98">"0"</f>
        <v>0</v>
      </c>
      <c r="E91" s="3" t="s">
        <v>17</v>
      </c>
      <c r="F91" s="3" t="s">
        <v>17</v>
      </c>
      <c r="G91" s="3" t="s">
        <v>25</v>
      </c>
      <c r="H91" s="3" t="str">
        <f t="shared" si="98"/>
        <v>0</v>
      </c>
      <c r="I91" s="3" t="str">
        <f t="shared" si="98"/>
        <v>0</v>
      </c>
      <c r="J91" s="3" t="str">
        <f t="shared" si="93"/>
        <v>1</v>
      </c>
      <c r="K91" s="3" t="str">
        <f t="shared" si="94"/>
        <v>537.84</v>
      </c>
      <c r="L91" s="3" t="str">
        <f t="shared" si="95"/>
        <v>322.7</v>
      </c>
      <c r="M91" s="3" t="str">
        <f t="shared" si="70"/>
        <v>20240516</v>
      </c>
      <c r="N91" s="3" t="s">
        <v>192</v>
      </c>
      <c r="O91" s="3"/>
    </row>
    <row r="92" spans="1:15">
      <c r="A92" s="3" t="str">
        <f>"661506218456700"</f>
        <v>661506218456700</v>
      </c>
      <c r="B92" s="3" t="s">
        <v>193</v>
      </c>
      <c r="C92" s="3" t="s">
        <v>16</v>
      </c>
      <c r="D92" s="3" t="str">
        <f t="shared" ref="D92:I92" si="99">"0"</f>
        <v>0</v>
      </c>
      <c r="E92" s="3" t="s">
        <v>17</v>
      </c>
      <c r="F92" s="3" t="s">
        <v>17</v>
      </c>
      <c r="G92" s="3" t="s">
        <v>25</v>
      </c>
      <c r="H92" s="3" t="str">
        <f t="shared" si="99"/>
        <v>0</v>
      </c>
      <c r="I92" s="3" t="str">
        <f t="shared" si="99"/>
        <v>0</v>
      </c>
      <c r="J92" s="3" t="str">
        <f>"3"</f>
        <v>3</v>
      </c>
      <c r="K92" s="3" t="str">
        <f>"2137.84"</f>
        <v>2137.84</v>
      </c>
      <c r="L92" s="3" t="str">
        <f>"1282.7"</f>
        <v>1282.7</v>
      </c>
      <c r="M92" s="3" t="str">
        <f t="shared" si="70"/>
        <v>20240516</v>
      </c>
      <c r="N92" s="3" t="s">
        <v>194</v>
      </c>
      <c r="O92" s="3"/>
    </row>
    <row r="93" spans="1:15">
      <c r="A93" s="3" t="str">
        <f>"661506218443700"</f>
        <v>661506218443700</v>
      </c>
      <c r="B93" s="3" t="s">
        <v>195</v>
      </c>
      <c r="C93" s="3" t="s">
        <v>16</v>
      </c>
      <c r="D93" s="3" t="str">
        <f t="shared" ref="D93:I93" si="100">"0"</f>
        <v>0</v>
      </c>
      <c r="E93" s="3" t="s">
        <v>17</v>
      </c>
      <c r="F93" s="3" t="s">
        <v>17</v>
      </c>
      <c r="G93" s="3" t="s">
        <v>25</v>
      </c>
      <c r="H93" s="3" t="str">
        <f t="shared" si="100"/>
        <v>0</v>
      </c>
      <c r="I93" s="3" t="str">
        <f t="shared" si="100"/>
        <v>0</v>
      </c>
      <c r="J93" s="3" t="str">
        <f>"1"</f>
        <v>1</v>
      </c>
      <c r="K93" s="3" t="str">
        <f t="shared" si="94"/>
        <v>537.84</v>
      </c>
      <c r="L93" s="3" t="str">
        <f t="shared" si="95"/>
        <v>322.7</v>
      </c>
      <c r="M93" s="3" t="str">
        <f t="shared" si="70"/>
        <v>20240516</v>
      </c>
      <c r="N93" s="3" t="s">
        <v>196</v>
      </c>
      <c r="O93" s="3"/>
    </row>
    <row r="94" spans="1:15">
      <c r="A94" s="3" t="str">
        <f>"661506218416600"</f>
        <v>661506218416600</v>
      </c>
      <c r="B94" s="3" t="s">
        <v>197</v>
      </c>
      <c r="C94" s="3" t="s">
        <v>16</v>
      </c>
      <c r="D94" s="3" t="str">
        <f t="shared" ref="D94:I94" si="101">"0"</f>
        <v>0</v>
      </c>
      <c r="E94" s="3" t="s">
        <v>17</v>
      </c>
      <c r="F94" s="3" t="s">
        <v>17</v>
      </c>
      <c r="G94" s="3" t="s">
        <v>25</v>
      </c>
      <c r="H94" s="3" t="str">
        <f t="shared" si="101"/>
        <v>0</v>
      </c>
      <c r="I94" s="3" t="str">
        <f t="shared" si="101"/>
        <v>0</v>
      </c>
      <c r="J94" s="3" t="str">
        <f>"6"</f>
        <v>6</v>
      </c>
      <c r="K94" s="3" t="str">
        <f>"3495.96"</f>
        <v>3495.96</v>
      </c>
      <c r="L94" s="3" t="str">
        <f>"2097.58"</f>
        <v>2097.58</v>
      </c>
      <c r="M94" s="3" t="str">
        <f t="shared" si="70"/>
        <v>20240516</v>
      </c>
      <c r="N94" s="3" t="s">
        <v>198</v>
      </c>
      <c r="O94" s="3"/>
    </row>
    <row r="95" spans="1:15">
      <c r="A95" s="3" t="str">
        <f>"661506218406500"</f>
        <v>661506218406500</v>
      </c>
      <c r="B95" s="3" t="s">
        <v>199</v>
      </c>
      <c r="C95" s="3" t="s">
        <v>16</v>
      </c>
      <c r="D95" s="3" t="str">
        <f t="shared" ref="D95:I95" si="102">"0"</f>
        <v>0</v>
      </c>
      <c r="E95" s="3" t="s">
        <v>17</v>
      </c>
      <c r="F95" s="3" t="s">
        <v>17</v>
      </c>
      <c r="G95" s="3" t="s">
        <v>25</v>
      </c>
      <c r="H95" s="3" t="str">
        <f t="shared" si="102"/>
        <v>0</v>
      </c>
      <c r="I95" s="3" t="str">
        <f t="shared" si="102"/>
        <v>0</v>
      </c>
      <c r="J95" s="3" t="str">
        <f>"19"</f>
        <v>19</v>
      </c>
      <c r="K95" s="3" t="str">
        <f>"11895.42"</f>
        <v>11895.42</v>
      </c>
      <c r="L95" s="3" t="str">
        <f>"7137.25"</f>
        <v>7137.25</v>
      </c>
      <c r="M95" s="3" t="str">
        <f t="shared" si="70"/>
        <v>20240516</v>
      </c>
      <c r="N95" s="3" t="s">
        <v>200</v>
      </c>
      <c r="O95" s="3"/>
    </row>
    <row r="96" spans="1:15">
      <c r="A96" s="3" t="str">
        <f>"661506218389200"</f>
        <v>661506218389200</v>
      </c>
      <c r="B96" s="3" t="s">
        <v>201</v>
      </c>
      <c r="C96" s="3" t="s">
        <v>16</v>
      </c>
      <c r="D96" s="3" t="str">
        <f t="shared" ref="D96:I96" si="103">"0"</f>
        <v>0</v>
      </c>
      <c r="E96" s="3" t="s">
        <v>17</v>
      </c>
      <c r="F96" s="3" t="s">
        <v>17</v>
      </c>
      <c r="G96" s="3" t="s">
        <v>25</v>
      </c>
      <c r="H96" s="3" t="str">
        <f t="shared" si="103"/>
        <v>0</v>
      </c>
      <c r="I96" s="3" t="str">
        <f t="shared" si="103"/>
        <v>0</v>
      </c>
      <c r="J96" s="3" t="str">
        <f t="shared" ref="J96:J100" si="104">"9"</f>
        <v>9</v>
      </c>
      <c r="K96" s="3" t="str">
        <f>"5442"</f>
        <v>5442</v>
      </c>
      <c r="L96" s="3" t="str">
        <f>"3265.2"</f>
        <v>3265.2</v>
      </c>
      <c r="M96" s="3" t="str">
        <f t="shared" si="70"/>
        <v>20240516</v>
      </c>
      <c r="N96" s="3" t="str">
        <f>"911506216900804069"</f>
        <v>911506216900804069</v>
      </c>
      <c r="O96" s="3"/>
    </row>
    <row r="97" spans="1:15">
      <c r="A97" s="3" t="str">
        <f>"661506218382800"</f>
        <v>661506218382800</v>
      </c>
      <c r="B97" s="3" t="s">
        <v>202</v>
      </c>
      <c r="C97" s="3" t="s">
        <v>16</v>
      </c>
      <c r="D97" s="3" t="str">
        <f t="shared" ref="D97:I97" si="105">"0"</f>
        <v>0</v>
      </c>
      <c r="E97" s="3" t="s">
        <v>17</v>
      </c>
      <c r="F97" s="3" t="s">
        <v>17</v>
      </c>
      <c r="G97" s="3" t="s">
        <v>25</v>
      </c>
      <c r="H97" s="3" t="str">
        <f t="shared" si="105"/>
        <v>0</v>
      </c>
      <c r="I97" s="3" t="str">
        <f t="shared" si="105"/>
        <v>0</v>
      </c>
      <c r="J97" s="3" t="str">
        <f t="shared" si="104"/>
        <v>9</v>
      </c>
      <c r="K97" s="3" t="str">
        <f>"5019.84"</f>
        <v>5019.84</v>
      </c>
      <c r="L97" s="3" t="str">
        <f>"3011.9"</f>
        <v>3011.9</v>
      </c>
      <c r="M97" s="3" t="str">
        <f t="shared" si="70"/>
        <v>20240516</v>
      </c>
      <c r="N97" s="3" t="str">
        <f>"911506215554667284"</f>
        <v>911506215554667284</v>
      </c>
      <c r="O97" s="3"/>
    </row>
    <row r="98" spans="1:15">
      <c r="A98" s="3" t="str">
        <f>"661506218380400"</f>
        <v>661506218380400</v>
      </c>
      <c r="B98" s="3" t="s">
        <v>203</v>
      </c>
      <c r="C98" s="3" t="s">
        <v>16</v>
      </c>
      <c r="D98" s="3" t="str">
        <f t="shared" ref="D98:I98" si="106">"0"</f>
        <v>0</v>
      </c>
      <c r="E98" s="3" t="s">
        <v>17</v>
      </c>
      <c r="F98" s="3" t="s">
        <v>17</v>
      </c>
      <c r="G98" s="3" t="s">
        <v>25</v>
      </c>
      <c r="H98" s="3" t="str">
        <f t="shared" si="106"/>
        <v>0</v>
      </c>
      <c r="I98" s="3" t="str">
        <f t="shared" si="106"/>
        <v>0</v>
      </c>
      <c r="J98" s="3" t="str">
        <f>"2"</f>
        <v>2</v>
      </c>
      <c r="K98" s="3" t="str">
        <f>"1299.78"</f>
        <v>1299.78</v>
      </c>
      <c r="L98" s="3" t="str">
        <f>"779.87"</f>
        <v>779.87</v>
      </c>
      <c r="M98" s="3" t="str">
        <f t="shared" si="70"/>
        <v>20240516</v>
      </c>
      <c r="N98" s="3" t="s">
        <v>204</v>
      </c>
      <c r="O98" s="3"/>
    </row>
    <row r="99" spans="1:15">
      <c r="A99" s="3" t="str">
        <f>"661506218376600"</f>
        <v>661506218376600</v>
      </c>
      <c r="B99" s="3" t="s">
        <v>205</v>
      </c>
      <c r="C99" s="3" t="s">
        <v>16</v>
      </c>
      <c r="D99" s="3" t="str">
        <f t="shared" ref="D99:I99" si="107">"0"</f>
        <v>0</v>
      </c>
      <c r="E99" s="3" t="s">
        <v>17</v>
      </c>
      <c r="F99" s="3" t="s">
        <v>17</v>
      </c>
      <c r="G99" s="3" t="s">
        <v>25</v>
      </c>
      <c r="H99" s="3" t="str">
        <f t="shared" si="107"/>
        <v>0</v>
      </c>
      <c r="I99" s="3" t="str">
        <f t="shared" si="107"/>
        <v>0</v>
      </c>
      <c r="J99" s="3" t="str">
        <f>"10"</f>
        <v>10</v>
      </c>
      <c r="K99" s="3" t="str">
        <f>"5692.14"</f>
        <v>5692.14</v>
      </c>
      <c r="L99" s="3" t="str">
        <f>"3415.28"</f>
        <v>3415.28</v>
      </c>
      <c r="M99" s="3" t="str">
        <f t="shared" si="70"/>
        <v>20240516</v>
      </c>
      <c r="N99" s="3" t="str">
        <f>"911506215641837976"</f>
        <v>911506215641837976</v>
      </c>
      <c r="O99" s="3"/>
    </row>
    <row r="100" spans="1:15">
      <c r="A100" s="3" t="str">
        <f>"661506218368400"</f>
        <v>661506218368400</v>
      </c>
      <c r="B100" s="3" t="s">
        <v>206</v>
      </c>
      <c r="C100" s="3" t="s">
        <v>16</v>
      </c>
      <c r="D100" s="3" t="str">
        <f t="shared" ref="D100:I100" si="108">"0"</f>
        <v>0</v>
      </c>
      <c r="E100" s="3" t="s">
        <v>17</v>
      </c>
      <c r="F100" s="3" t="s">
        <v>17</v>
      </c>
      <c r="G100" s="3" t="s">
        <v>25</v>
      </c>
      <c r="H100" s="3" t="str">
        <f t="shared" si="108"/>
        <v>0</v>
      </c>
      <c r="I100" s="3" t="str">
        <f t="shared" si="108"/>
        <v>0</v>
      </c>
      <c r="J100" s="3" t="str">
        <f t="shared" si="104"/>
        <v>9</v>
      </c>
      <c r="K100" s="3" t="str">
        <f>"5168.52"</f>
        <v>5168.52</v>
      </c>
      <c r="L100" s="3" t="str">
        <f>"3101.11"</f>
        <v>3101.11</v>
      </c>
      <c r="M100" s="3" t="str">
        <f t="shared" si="70"/>
        <v>20240516</v>
      </c>
      <c r="N100" s="3" t="s">
        <v>207</v>
      </c>
      <c r="O100" s="3"/>
    </row>
    <row r="101" spans="1:15">
      <c r="A101" s="3" t="str">
        <f>"661506218364400"</f>
        <v>661506218364400</v>
      </c>
      <c r="B101" s="3" t="s">
        <v>208</v>
      </c>
      <c r="C101" s="3" t="s">
        <v>16</v>
      </c>
      <c r="D101" s="3">
        <v>0.05</v>
      </c>
      <c r="E101" s="3" t="s">
        <v>17</v>
      </c>
      <c r="F101" s="3" t="s">
        <v>17</v>
      </c>
      <c r="G101" s="3" t="s">
        <v>18</v>
      </c>
      <c r="H101" s="3" t="str">
        <f t="shared" ref="H101:H148" si="109">"0"</f>
        <v>0</v>
      </c>
      <c r="I101" s="3" t="str">
        <f t="shared" ref="I101:I126" si="110">"0"</f>
        <v>0</v>
      </c>
      <c r="J101" s="3" t="str">
        <f>"66"</f>
        <v>66</v>
      </c>
      <c r="K101" s="3" t="str">
        <f>"35631.9"</f>
        <v>35631.9</v>
      </c>
      <c r="L101" s="3" t="str">
        <f>"21379.14"</f>
        <v>21379.14</v>
      </c>
      <c r="M101" s="3" t="str">
        <f t="shared" si="70"/>
        <v>20240516</v>
      </c>
      <c r="N101" s="3" t="s">
        <v>209</v>
      </c>
      <c r="O101" s="3"/>
    </row>
    <row r="102" spans="1:15">
      <c r="A102" s="3" t="str">
        <f>"661506218356400"</f>
        <v>661506218356400</v>
      </c>
      <c r="B102" s="3" t="s">
        <v>210</v>
      </c>
      <c r="C102" s="3" t="s">
        <v>16</v>
      </c>
      <c r="D102" s="3" t="str">
        <f t="shared" ref="D102:I102" si="111">"0"</f>
        <v>0</v>
      </c>
      <c r="E102" s="3" t="s">
        <v>17</v>
      </c>
      <c r="F102" s="3" t="s">
        <v>17</v>
      </c>
      <c r="G102" s="3" t="s">
        <v>25</v>
      </c>
      <c r="H102" s="3" t="str">
        <f t="shared" si="111"/>
        <v>0</v>
      </c>
      <c r="I102" s="3" t="str">
        <f t="shared" si="111"/>
        <v>0</v>
      </c>
      <c r="J102" s="3" t="str">
        <f>"5"</f>
        <v>5</v>
      </c>
      <c r="K102" s="3" t="str">
        <f>"2689.2"</f>
        <v>2689.2</v>
      </c>
      <c r="L102" s="3" t="str">
        <f>"1613.52"</f>
        <v>1613.52</v>
      </c>
      <c r="M102" s="3" t="str">
        <f t="shared" si="70"/>
        <v>20240516</v>
      </c>
      <c r="N102" s="3" t="s">
        <v>211</v>
      </c>
      <c r="O102" s="3"/>
    </row>
    <row r="103" spans="1:14">
      <c r="A103" s="3" t="str">
        <f>"661506218334400"</f>
        <v>661506218334400</v>
      </c>
      <c r="B103" s="3" t="s">
        <v>212</v>
      </c>
      <c r="C103" s="3"/>
      <c r="D103" s="3">
        <v>0.14</v>
      </c>
      <c r="E103" s="3" t="s">
        <v>17</v>
      </c>
      <c r="F103" s="3" t="s">
        <v>17</v>
      </c>
      <c r="G103" s="3" t="s">
        <v>25</v>
      </c>
      <c r="H103" s="3" t="str">
        <f t="shared" si="109"/>
        <v>0</v>
      </c>
      <c r="I103" s="3" t="str">
        <f t="shared" si="110"/>
        <v>0</v>
      </c>
      <c r="J103" s="3" t="str">
        <f>"7"</f>
        <v>7</v>
      </c>
      <c r="K103" s="3" t="str">
        <f>"3944.16"</f>
        <v>3944.16</v>
      </c>
      <c r="L103" s="3" t="str">
        <f>"2366.5"</f>
        <v>2366.5</v>
      </c>
      <c r="M103" s="3" t="str">
        <f t="shared" si="70"/>
        <v>20240516</v>
      </c>
      <c r="N103" s="3" t="s">
        <v>213</v>
      </c>
    </row>
    <row r="104" spans="1:14">
      <c r="A104" s="3" t="str">
        <f>"661506218330600"</f>
        <v>661506218330600</v>
      </c>
      <c r="B104" s="3" t="s">
        <v>214</v>
      </c>
      <c r="C104" s="3" t="s">
        <v>16</v>
      </c>
      <c r="D104" s="3" t="str">
        <f t="shared" ref="D104:D117" si="112">"0"</f>
        <v>0</v>
      </c>
      <c r="E104" s="3" t="s">
        <v>17</v>
      </c>
      <c r="F104" s="3" t="s">
        <v>17</v>
      </c>
      <c r="G104" s="3" t="s">
        <v>25</v>
      </c>
      <c r="H104" s="3" t="str">
        <f t="shared" si="109"/>
        <v>0</v>
      </c>
      <c r="I104" s="3" t="str">
        <f t="shared" si="110"/>
        <v>0</v>
      </c>
      <c r="J104" s="3" t="str">
        <f>"2"</f>
        <v>2</v>
      </c>
      <c r="K104" s="3" t="str">
        <f>"1197.84"</f>
        <v>1197.84</v>
      </c>
      <c r="L104" s="3" t="str">
        <f>"718.7"</f>
        <v>718.7</v>
      </c>
      <c r="M104" s="3" t="str">
        <f t="shared" si="70"/>
        <v>20240516</v>
      </c>
      <c r="N104" s="3" t="s">
        <v>215</v>
      </c>
    </row>
    <row r="105" spans="1:14">
      <c r="A105" s="3" t="str">
        <f>"661506218330500"</f>
        <v>661506218330500</v>
      </c>
      <c r="B105" s="3" t="s">
        <v>216</v>
      </c>
      <c r="C105" s="3" t="s">
        <v>16</v>
      </c>
      <c r="D105" s="3" t="str">
        <f t="shared" si="112"/>
        <v>0</v>
      </c>
      <c r="E105" s="3" t="s">
        <v>17</v>
      </c>
      <c r="F105" s="3" t="s">
        <v>17</v>
      </c>
      <c r="G105" s="3" t="s">
        <v>25</v>
      </c>
      <c r="H105" s="3" t="str">
        <f t="shared" si="109"/>
        <v>0</v>
      </c>
      <c r="I105" s="3" t="str">
        <f t="shared" si="110"/>
        <v>0</v>
      </c>
      <c r="J105" s="3" t="str">
        <f t="shared" ref="J105:J108" si="113">"1"</f>
        <v>1</v>
      </c>
      <c r="K105" s="3" t="str">
        <f>"537.84"</f>
        <v>537.84</v>
      </c>
      <c r="L105" s="3" t="str">
        <f>"322.7"</f>
        <v>322.7</v>
      </c>
      <c r="M105" s="3" t="str">
        <f t="shared" si="70"/>
        <v>20240516</v>
      </c>
      <c r="N105" s="3" t="s">
        <v>217</v>
      </c>
    </row>
    <row r="106" spans="1:14">
      <c r="A106" s="3" t="str">
        <f>"661506218308500"</f>
        <v>661506218308500</v>
      </c>
      <c r="B106" s="3" t="s">
        <v>218</v>
      </c>
      <c r="C106" s="3" t="s">
        <v>16</v>
      </c>
      <c r="D106" s="3" t="str">
        <f t="shared" si="112"/>
        <v>0</v>
      </c>
      <c r="E106" s="3" t="s">
        <v>17</v>
      </c>
      <c r="F106" s="3" t="s">
        <v>17</v>
      </c>
      <c r="G106" s="3" t="s">
        <v>25</v>
      </c>
      <c r="H106" s="3" t="str">
        <f t="shared" si="109"/>
        <v>0</v>
      </c>
      <c r="I106" s="3" t="str">
        <f t="shared" si="110"/>
        <v>0</v>
      </c>
      <c r="J106" s="3" t="str">
        <f>"5"</f>
        <v>5</v>
      </c>
      <c r="K106" s="3" t="str">
        <f>"3214.38"</f>
        <v>3214.38</v>
      </c>
      <c r="L106" s="3" t="str">
        <f>"1928.63"</f>
        <v>1928.63</v>
      </c>
      <c r="M106" s="3" t="str">
        <f t="shared" si="70"/>
        <v>20240516</v>
      </c>
      <c r="N106" s="3" t="s">
        <v>219</v>
      </c>
    </row>
    <row r="107" spans="1:14">
      <c r="A107" s="3" t="str">
        <f>"661506218270600"</f>
        <v>661506218270600</v>
      </c>
      <c r="B107" s="3" t="s">
        <v>220</v>
      </c>
      <c r="C107" s="3" t="s">
        <v>16</v>
      </c>
      <c r="D107" s="3" t="str">
        <f t="shared" si="112"/>
        <v>0</v>
      </c>
      <c r="E107" s="3" t="s">
        <v>17</v>
      </c>
      <c r="F107" s="3" t="s">
        <v>17</v>
      </c>
      <c r="G107" s="3" t="s">
        <v>25</v>
      </c>
      <c r="H107" s="3" t="str">
        <f t="shared" si="109"/>
        <v>0</v>
      </c>
      <c r="I107" s="3" t="str">
        <f t="shared" si="110"/>
        <v>0</v>
      </c>
      <c r="J107" s="3" t="str">
        <f t="shared" si="113"/>
        <v>1</v>
      </c>
      <c r="K107" s="3" t="str">
        <f>"720"</f>
        <v>720</v>
      </c>
      <c r="L107" s="3" t="str">
        <f>"432"</f>
        <v>432</v>
      </c>
      <c r="M107" s="3" t="str">
        <f t="shared" si="70"/>
        <v>20240516</v>
      </c>
      <c r="N107" s="3" t="s">
        <v>221</v>
      </c>
    </row>
    <row r="108" spans="1:14">
      <c r="A108" s="3" t="str">
        <f>"661506218256500"</f>
        <v>661506218256500</v>
      </c>
      <c r="B108" s="3" t="s">
        <v>222</v>
      </c>
      <c r="C108" s="3" t="s">
        <v>16</v>
      </c>
      <c r="D108" s="3" t="str">
        <f t="shared" si="112"/>
        <v>0</v>
      </c>
      <c r="E108" s="3" t="s">
        <v>17</v>
      </c>
      <c r="F108" s="3" t="s">
        <v>17</v>
      </c>
      <c r="G108" s="3" t="s">
        <v>140</v>
      </c>
      <c r="H108" s="3" t="str">
        <f t="shared" si="109"/>
        <v>0</v>
      </c>
      <c r="I108" s="3" t="str">
        <f t="shared" si="110"/>
        <v>0</v>
      </c>
      <c r="J108" s="3" t="str">
        <f t="shared" si="113"/>
        <v>1</v>
      </c>
      <c r="K108" s="3" t="str">
        <f>"600"</f>
        <v>600</v>
      </c>
      <c r="L108" s="3" t="str">
        <f>"360"</f>
        <v>360</v>
      </c>
      <c r="M108" s="3" t="str">
        <f t="shared" si="70"/>
        <v>20240516</v>
      </c>
      <c r="N108" s="3" t="s">
        <v>223</v>
      </c>
    </row>
    <row r="109" spans="1:14">
      <c r="A109" s="3" t="str">
        <f>"661506218234400"</f>
        <v>661506218234400</v>
      </c>
      <c r="B109" s="3" t="s">
        <v>224</v>
      </c>
      <c r="C109" s="3" t="s">
        <v>16</v>
      </c>
      <c r="D109" s="3" t="str">
        <f t="shared" si="112"/>
        <v>0</v>
      </c>
      <c r="E109" s="3" t="s">
        <v>17</v>
      </c>
      <c r="F109" s="3" t="s">
        <v>17</v>
      </c>
      <c r="G109" s="3" t="s">
        <v>25</v>
      </c>
      <c r="H109" s="3" t="str">
        <f t="shared" si="109"/>
        <v>0</v>
      </c>
      <c r="I109" s="3" t="str">
        <f t="shared" si="110"/>
        <v>0</v>
      </c>
      <c r="J109" s="3" t="str">
        <f>"3"</f>
        <v>3</v>
      </c>
      <c r="K109" s="3" t="str">
        <f>"1658.34"</f>
        <v>1658.34</v>
      </c>
      <c r="L109" s="3" t="str">
        <f>"995"</f>
        <v>995</v>
      </c>
      <c r="M109" s="3" t="str">
        <f t="shared" si="70"/>
        <v>20240516</v>
      </c>
      <c r="N109" s="3" t="s">
        <v>225</v>
      </c>
    </row>
    <row r="110" spans="1:14">
      <c r="A110" s="3" t="str">
        <f>"661506218232400"</f>
        <v>661506218232400</v>
      </c>
      <c r="B110" s="3" t="s">
        <v>226</v>
      </c>
      <c r="C110" s="3" t="s">
        <v>16</v>
      </c>
      <c r="D110" s="3" t="str">
        <f t="shared" si="112"/>
        <v>0</v>
      </c>
      <c r="E110" s="3" t="s">
        <v>17</v>
      </c>
      <c r="F110" s="3" t="s">
        <v>17</v>
      </c>
      <c r="G110" s="3" t="s">
        <v>25</v>
      </c>
      <c r="H110" s="3" t="str">
        <f t="shared" si="109"/>
        <v>0</v>
      </c>
      <c r="I110" s="3" t="str">
        <f t="shared" si="110"/>
        <v>0</v>
      </c>
      <c r="J110" s="3" t="str">
        <f>"5"</f>
        <v>5</v>
      </c>
      <c r="K110" s="3" t="str">
        <f>"4585.22"</f>
        <v>4585.22</v>
      </c>
      <c r="L110" s="3" t="str">
        <f>"2751.13"</f>
        <v>2751.13</v>
      </c>
      <c r="M110" s="3" t="str">
        <f t="shared" si="70"/>
        <v>20240516</v>
      </c>
      <c r="N110" s="3" t="s">
        <v>227</v>
      </c>
    </row>
    <row r="111" spans="1:14">
      <c r="A111" s="3" t="str">
        <f>"661506218228400"</f>
        <v>661506218228400</v>
      </c>
      <c r="B111" s="3" t="s">
        <v>228</v>
      </c>
      <c r="C111" s="3" t="s">
        <v>16</v>
      </c>
      <c r="D111" s="3" t="str">
        <f t="shared" si="112"/>
        <v>0</v>
      </c>
      <c r="E111" s="3" t="s">
        <v>17</v>
      </c>
      <c r="F111" s="3" t="s">
        <v>17</v>
      </c>
      <c r="G111" s="3" t="s">
        <v>25</v>
      </c>
      <c r="H111" s="3" t="str">
        <f t="shared" si="109"/>
        <v>0</v>
      </c>
      <c r="I111" s="3" t="str">
        <f t="shared" si="110"/>
        <v>0</v>
      </c>
      <c r="J111" s="3" t="str">
        <f>"37"</f>
        <v>37</v>
      </c>
      <c r="K111" s="3" t="str">
        <f>"19810.12"</f>
        <v>19810.12</v>
      </c>
      <c r="L111" s="3" t="str">
        <f>"11886.07"</f>
        <v>11886.07</v>
      </c>
      <c r="M111" s="3" t="str">
        <f t="shared" si="70"/>
        <v>20240516</v>
      </c>
      <c r="N111" s="3" t="s">
        <v>229</v>
      </c>
    </row>
    <row r="112" spans="1:14">
      <c r="A112" s="3" t="str">
        <f>"661506218216400"</f>
        <v>661506218216400</v>
      </c>
      <c r="B112" s="3" t="s">
        <v>230</v>
      </c>
      <c r="C112" s="3" t="s">
        <v>16</v>
      </c>
      <c r="D112" s="3" t="str">
        <f t="shared" si="112"/>
        <v>0</v>
      </c>
      <c r="E112" s="3" t="s">
        <v>17</v>
      </c>
      <c r="F112" s="3" t="s">
        <v>17</v>
      </c>
      <c r="G112" s="3" t="s">
        <v>18</v>
      </c>
      <c r="H112" s="3" t="str">
        <f t="shared" si="109"/>
        <v>0</v>
      </c>
      <c r="I112" s="3" t="str">
        <f t="shared" si="110"/>
        <v>0</v>
      </c>
      <c r="J112" s="3" t="str">
        <f>"1"</f>
        <v>1</v>
      </c>
      <c r="K112" s="3" t="str">
        <f>"537.84"</f>
        <v>537.84</v>
      </c>
      <c r="L112" s="3" t="str">
        <f>"322.7"</f>
        <v>322.7</v>
      </c>
      <c r="M112" s="3" t="str">
        <f t="shared" si="70"/>
        <v>20240516</v>
      </c>
      <c r="N112" s="3" t="s">
        <v>231</v>
      </c>
    </row>
    <row r="113" spans="1:14">
      <c r="A113" s="3" t="str">
        <f>"661506218214400"</f>
        <v>661506218214400</v>
      </c>
      <c r="B113" s="3" t="s">
        <v>232</v>
      </c>
      <c r="C113" s="3" t="s">
        <v>16</v>
      </c>
      <c r="D113" s="3" t="str">
        <f t="shared" si="112"/>
        <v>0</v>
      </c>
      <c r="E113" s="3" t="s">
        <v>17</v>
      </c>
      <c r="F113" s="3" t="s">
        <v>17</v>
      </c>
      <c r="G113" s="3" t="s">
        <v>25</v>
      </c>
      <c r="H113" s="3" t="str">
        <f t="shared" si="109"/>
        <v>0</v>
      </c>
      <c r="I113" s="3" t="str">
        <f t="shared" si="110"/>
        <v>0</v>
      </c>
      <c r="J113" s="3" t="str">
        <f>"3"</f>
        <v>3</v>
      </c>
      <c r="K113" s="3" t="str">
        <f>"2376"</f>
        <v>2376</v>
      </c>
      <c r="L113" s="3" t="str">
        <f>"1425.6"</f>
        <v>1425.6</v>
      </c>
      <c r="M113" s="3" t="str">
        <f t="shared" si="70"/>
        <v>20240516</v>
      </c>
      <c r="N113" s="3" t="str">
        <f>"911506210505521451"</f>
        <v>911506210505521451</v>
      </c>
    </row>
    <row r="114" spans="1:14">
      <c r="A114" s="3" t="str">
        <f>"661506218122600"</f>
        <v>661506218122600</v>
      </c>
      <c r="B114" s="3" t="s">
        <v>233</v>
      </c>
      <c r="C114" s="3" t="s">
        <v>16</v>
      </c>
      <c r="D114" s="3" t="str">
        <f t="shared" si="112"/>
        <v>0</v>
      </c>
      <c r="E114" s="3" t="s">
        <v>17</v>
      </c>
      <c r="F114" s="3" t="s">
        <v>17</v>
      </c>
      <c r="G114" s="3" t="s">
        <v>25</v>
      </c>
      <c r="H114" s="3" t="str">
        <f t="shared" si="109"/>
        <v>0</v>
      </c>
      <c r="I114" s="3" t="str">
        <f t="shared" si="110"/>
        <v>0</v>
      </c>
      <c r="J114" s="3" t="str">
        <f>"10"</f>
        <v>10</v>
      </c>
      <c r="K114" s="3" t="str">
        <f>"6469.36"</f>
        <v>6469.36</v>
      </c>
      <c r="L114" s="3" t="str">
        <f>"3881.62"</f>
        <v>3881.62</v>
      </c>
      <c r="M114" s="3" t="str">
        <f t="shared" si="70"/>
        <v>20240516</v>
      </c>
      <c r="N114" s="3" t="str">
        <f>"911506215732871845"</f>
        <v>911506215732871845</v>
      </c>
    </row>
    <row r="115" spans="1:14">
      <c r="A115" s="3" t="str">
        <f>"661506218068600"</f>
        <v>661506218068600</v>
      </c>
      <c r="B115" s="3" t="s">
        <v>234</v>
      </c>
      <c r="C115" s="3" t="s">
        <v>16</v>
      </c>
      <c r="D115" s="3" t="str">
        <f t="shared" si="112"/>
        <v>0</v>
      </c>
      <c r="E115" s="3" t="s">
        <v>17</v>
      </c>
      <c r="F115" s="3" t="s">
        <v>17</v>
      </c>
      <c r="G115" s="3" t="s">
        <v>25</v>
      </c>
      <c r="H115" s="3" t="str">
        <f t="shared" si="109"/>
        <v>0</v>
      </c>
      <c r="I115" s="3" t="str">
        <f t="shared" si="110"/>
        <v>0</v>
      </c>
      <c r="J115" s="3" t="str">
        <f>"4"</f>
        <v>4</v>
      </c>
      <c r="K115" s="3" t="str">
        <f>"2151.36"</f>
        <v>2151.36</v>
      </c>
      <c r="L115" s="3" t="str">
        <f>"1290.82"</f>
        <v>1290.82</v>
      </c>
      <c r="M115" s="3" t="str">
        <f t="shared" si="70"/>
        <v>20240516</v>
      </c>
      <c r="N115" s="3" t="s">
        <v>235</v>
      </c>
    </row>
    <row r="116" spans="1:14">
      <c r="A116" s="3" t="str">
        <f>"661506218066400"</f>
        <v>661506218066400</v>
      </c>
      <c r="B116" s="3" t="s">
        <v>236</v>
      </c>
      <c r="C116" s="3"/>
      <c r="D116" s="3" t="str">
        <f t="shared" si="112"/>
        <v>0</v>
      </c>
      <c r="E116" s="3" t="s">
        <v>17</v>
      </c>
      <c r="F116" s="3" t="s">
        <v>17</v>
      </c>
      <c r="G116" s="3" t="s">
        <v>25</v>
      </c>
      <c r="H116" s="3" t="str">
        <f t="shared" si="109"/>
        <v>0</v>
      </c>
      <c r="I116" s="3" t="str">
        <f t="shared" si="110"/>
        <v>0</v>
      </c>
      <c r="J116" s="3" t="str">
        <f>"3"</f>
        <v>3</v>
      </c>
      <c r="K116" s="3" t="str">
        <f>"2065.32"</f>
        <v>2065.32</v>
      </c>
      <c r="L116" s="3" t="str">
        <f>"1239.19"</f>
        <v>1239.19</v>
      </c>
      <c r="M116" s="3" t="str">
        <f t="shared" si="70"/>
        <v>20240516</v>
      </c>
      <c r="N116" s="3" t="str">
        <f>"911506216834312711"</f>
        <v>911506216834312711</v>
      </c>
    </row>
    <row r="117" spans="1:14">
      <c r="A117" s="3" t="str">
        <f>"661506218064400"</f>
        <v>661506218064400</v>
      </c>
      <c r="B117" s="3" t="s">
        <v>237</v>
      </c>
      <c r="C117" s="3" t="s">
        <v>16</v>
      </c>
      <c r="D117" s="3" t="str">
        <f t="shared" si="112"/>
        <v>0</v>
      </c>
      <c r="E117" s="3" t="s">
        <v>17</v>
      </c>
      <c r="F117" s="3" t="s">
        <v>17</v>
      </c>
      <c r="G117" s="3" t="s">
        <v>25</v>
      </c>
      <c r="H117" s="3" t="str">
        <f t="shared" si="109"/>
        <v>0</v>
      </c>
      <c r="I117" s="3" t="str">
        <f t="shared" si="110"/>
        <v>0</v>
      </c>
      <c r="J117" s="3" t="str">
        <f>"1"</f>
        <v>1</v>
      </c>
      <c r="K117" s="3" t="str">
        <f>"537.84"</f>
        <v>537.84</v>
      </c>
      <c r="L117" s="3" t="str">
        <f>"322.7"</f>
        <v>322.7</v>
      </c>
      <c r="M117" s="3" t="str">
        <f t="shared" si="70"/>
        <v>20240516</v>
      </c>
      <c r="N117" s="3" t="s">
        <v>238</v>
      </c>
    </row>
    <row r="118" spans="1:14">
      <c r="A118" s="3" t="str">
        <f>"661506218058500"</f>
        <v>661506218058500</v>
      </c>
      <c r="B118" s="3" t="s">
        <v>239</v>
      </c>
      <c r="C118" s="3" t="s">
        <v>16</v>
      </c>
      <c r="D118" s="3">
        <v>0.07</v>
      </c>
      <c r="E118" s="3" t="s">
        <v>17</v>
      </c>
      <c r="F118" s="3" t="s">
        <v>17</v>
      </c>
      <c r="G118" s="3" t="s">
        <v>25</v>
      </c>
      <c r="H118" s="3" t="str">
        <f t="shared" si="109"/>
        <v>0</v>
      </c>
      <c r="I118" s="3" t="str">
        <f t="shared" si="110"/>
        <v>0</v>
      </c>
      <c r="J118" s="3" t="str">
        <f>"15"</f>
        <v>15</v>
      </c>
      <c r="K118" s="3" t="str">
        <f>"14022.24"</f>
        <v>14022.24</v>
      </c>
      <c r="L118" s="3" t="str">
        <f>"8413.34"</f>
        <v>8413.34</v>
      </c>
      <c r="M118" s="3" t="str">
        <f t="shared" si="70"/>
        <v>20240516</v>
      </c>
      <c r="N118" s="3" t="s">
        <v>240</v>
      </c>
    </row>
    <row r="119" spans="1:14">
      <c r="A119" s="3" t="str">
        <f>"661506218046400"</f>
        <v>661506218046400</v>
      </c>
      <c r="B119" s="3" t="s">
        <v>241</v>
      </c>
      <c r="C119" s="3" t="s">
        <v>16</v>
      </c>
      <c r="D119" s="3" t="str">
        <f t="shared" ref="D119:D150" si="114">"0"</f>
        <v>0</v>
      </c>
      <c r="E119" s="3" t="s">
        <v>17</v>
      </c>
      <c r="F119" s="3" t="s">
        <v>17</v>
      </c>
      <c r="G119" s="3" t="s">
        <v>25</v>
      </c>
      <c r="H119" s="3" t="str">
        <f t="shared" si="109"/>
        <v>0</v>
      </c>
      <c r="I119" s="3" t="str">
        <f t="shared" si="110"/>
        <v>0</v>
      </c>
      <c r="J119" s="3" t="str">
        <f>"2"</f>
        <v>2</v>
      </c>
      <c r="K119" s="3" t="str">
        <f>"1523.88"</f>
        <v>1523.88</v>
      </c>
      <c r="L119" s="3" t="str">
        <f>"914.33"</f>
        <v>914.33</v>
      </c>
      <c r="M119" s="3" t="str">
        <f t="shared" si="70"/>
        <v>20240516</v>
      </c>
      <c r="N119" s="3" t="s">
        <v>242</v>
      </c>
    </row>
    <row r="120" spans="1:14">
      <c r="A120" s="3" t="str">
        <f>"661506218028700"</f>
        <v>661506218028700</v>
      </c>
      <c r="B120" s="3" t="s">
        <v>243</v>
      </c>
      <c r="C120" s="3" t="s">
        <v>16</v>
      </c>
      <c r="D120" s="3" t="str">
        <f t="shared" si="114"/>
        <v>0</v>
      </c>
      <c r="E120" s="3" t="s">
        <v>17</v>
      </c>
      <c r="F120" s="3" t="s">
        <v>17</v>
      </c>
      <c r="G120" s="3" t="s">
        <v>25</v>
      </c>
      <c r="H120" s="3" t="str">
        <f t="shared" si="109"/>
        <v>0</v>
      </c>
      <c r="I120" s="3" t="str">
        <f t="shared" si="110"/>
        <v>0</v>
      </c>
      <c r="J120" s="3" t="str">
        <f>"4"</f>
        <v>4</v>
      </c>
      <c r="K120" s="3" t="str">
        <f>"2509.92"</f>
        <v>2509.92</v>
      </c>
      <c r="L120" s="3" t="str">
        <f>"1505.95"</f>
        <v>1505.95</v>
      </c>
      <c r="M120" s="3" t="str">
        <f t="shared" si="70"/>
        <v>20240516</v>
      </c>
      <c r="N120" s="3" t="s">
        <v>244</v>
      </c>
    </row>
    <row r="121" spans="1:14">
      <c r="A121" s="3" t="str">
        <f>"661506217982400"</f>
        <v>661506217982400</v>
      </c>
      <c r="B121" s="3" t="s">
        <v>245</v>
      </c>
      <c r="C121" s="3" t="s">
        <v>16</v>
      </c>
      <c r="D121" s="3" t="str">
        <f t="shared" si="114"/>
        <v>0</v>
      </c>
      <c r="E121" s="3" t="s">
        <v>17</v>
      </c>
      <c r="F121" s="3" t="s">
        <v>17</v>
      </c>
      <c r="G121" s="3" t="s">
        <v>25</v>
      </c>
      <c r="H121" s="3" t="str">
        <f t="shared" si="109"/>
        <v>0</v>
      </c>
      <c r="I121" s="3" t="str">
        <f t="shared" si="110"/>
        <v>0</v>
      </c>
      <c r="J121" s="3" t="str">
        <f>"1"</f>
        <v>1</v>
      </c>
      <c r="K121" s="3" t="str">
        <f>"684"</f>
        <v>684</v>
      </c>
      <c r="L121" s="3" t="str">
        <f>"410.4"</f>
        <v>410.4</v>
      </c>
      <c r="M121" s="3" t="str">
        <f t="shared" si="70"/>
        <v>20240516</v>
      </c>
      <c r="N121" s="3" t="s">
        <v>246</v>
      </c>
    </row>
    <row r="122" spans="1:14">
      <c r="A122" s="3" t="str">
        <f>"661506217980400"</f>
        <v>661506217980400</v>
      </c>
      <c r="B122" s="3" t="s">
        <v>247</v>
      </c>
      <c r="C122" s="3" t="s">
        <v>16</v>
      </c>
      <c r="D122" s="3" t="str">
        <f t="shared" si="114"/>
        <v>0</v>
      </c>
      <c r="E122" s="3" t="s">
        <v>17</v>
      </c>
      <c r="F122" s="3" t="s">
        <v>17</v>
      </c>
      <c r="G122" s="3" t="s">
        <v>25</v>
      </c>
      <c r="H122" s="3" t="str">
        <f t="shared" si="109"/>
        <v>0</v>
      </c>
      <c r="I122" s="3" t="str">
        <f t="shared" si="110"/>
        <v>0</v>
      </c>
      <c r="J122" s="3" t="str">
        <f>"8"</f>
        <v>8</v>
      </c>
      <c r="K122" s="3" t="str">
        <f>"4807.44"</f>
        <v>4807.44</v>
      </c>
      <c r="L122" s="3" t="str">
        <f>"2884.46"</f>
        <v>2884.46</v>
      </c>
      <c r="M122" s="3" t="str">
        <f t="shared" si="70"/>
        <v>20240516</v>
      </c>
      <c r="N122" s="3" t="s">
        <v>248</v>
      </c>
    </row>
    <row r="123" spans="1:14">
      <c r="A123" s="3" t="str">
        <f>"661506217970600"</f>
        <v>661506217970600</v>
      </c>
      <c r="B123" s="3" t="s">
        <v>249</v>
      </c>
      <c r="C123" s="3" t="s">
        <v>16</v>
      </c>
      <c r="D123" s="3" t="str">
        <f t="shared" si="114"/>
        <v>0</v>
      </c>
      <c r="E123" s="3" t="s">
        <v>17</v>
      </c>
      <c r="F123" s="3" t="s">
        <v>17</v>
      </c>
      <c r="G123" s="3" t="s">
        <v>25</v>
      </c>
      <c r="H123" s="3" t="str">
        <f t="shared" si="109"/>
        <v>0</v>
      </c>
      <c r="I123" s="3" t="str">
        <f t="shared" si="110"/>
        <v>0</v>
      </c>
      <c r="J123" s="3" t="str">
        <f t="shared" ref="J123:J126" si="115">"5"</f>
        <v>5</v>
      </c>
      <c r="K123" s="3" t="str">
        <f>"2151.36"</f>
        <v>2151.36</v>
      </c>
      <c r="L123" s="3" t="str">
        <f>"1290.82"</f>
        <v>1290.82</v>
      </c>
      <c r="M123" s="3" t="str">
        <f t="shared" si="70"/>
        <v>20240516</v>
      </c>
      <c r="N123" s="3" t="s">
        <v>250</v>
      </c>
    </row>
    <row r="124" spans="1:14">
      <c r="A124" s="3" t="str">
        <f>"661506217968600"</f>
        <v>661506217968600</v>
      </c>
      <c r="B124" s="3" t="s">
        <v>251</v>
      </c>
      <c r="C124" s="3" t="s">
        <v>16</v>
      </c>
      <c r="D124" s="3" t="str">
        <f t="shared" si="114"/>
        <v>0</v>
      </c>
      <c r="E124" s="3" t="s">
        <v>17</v>
      </c>
      <c r="F124" s="3" t="s">
        <v>17</v>
      </c>
      <c r="G124" s="3" t="s">
        <v>25</v>
      </c>
      <c r="H124" s="3" t="str">
        <f t="shared" si="109"/>
        <v>0</v>
      </c>
      <c r="I124" s="3" t="str">
        <f t="shared" si="110"/>
        <v>0</v>
      </c>
      <c r="J124" s="3" t="str">
        <f>"2"</f>
        <v>2</v>
      </c>
      <c r="K124" s="3" t="str">
        <f>"1301.58"</f>
        <v>1301.58</v>
      </c>
      <c r="L124" s="3" t="str">
        <f>"780.95"</f>
        <v>780.95</v>
      </c>
      <c r="M124" s="3" t="str">
        <f t="shared" si="70"/>
        <v>20240516</v>
      </c>
      <c r="N124" s="3" t="s">
        <v>252</v>
      </c>
    </row>
    <row r="125" spans="1:14">
      <c r="A125" s="3" t="str">
        <f>"661506217954600"</f>
        <v>661506217954600</v>
      </c>
      <c r="B125" s="3" t="s">
        <v>253</v>
      </c>
      <c r="C125" s="3"/>
      <c r="D125" s="3" t="str">
        <f t="shared" si="114"/>
        <v>0</v>
      </c>
      <c r="E125" s="3" t="s">
        <v>17</v>
      </c>
      <c r="F125" s="3" t="s">
        <v>17</v>
      </c>
      <c r="G125" s="3" t="s">
        <v>16</v>
      </c>
      <c r="H125" s="3" t="str">
        <f t="shared" si="109"/>
        <v>0</v>
      </c>
      <c r="I125" s="3" t="str">
        <f t="shared" si="110"/>
        <v>0</v>
      </c>
      <c r="J125" s="3" t="str">
        <f t="shared" si="115"/>
        <v>5</v>
      </c>
      <c r="K125" s="3" t="str">
        <f>"4482"</f>
        <v>4482</v>
      </c>
      <c r="L125" s="3" t="str">
        <f>"1344.6"</f>
        <v>1344.6</v>
      </c>
      <c r="M125" s="3" t="str">
        <f t="shared" si="70"/>
        <v>20240516</v>
      </c>
      <c r="N125" s="3" t="s">
        <v>254</v>
      </c>
    </row>
    <row r="126" spans="1:14">
      <c r="A126" s="3" t="str">
        <f>"661506217942400"</f>
        <v>661506217942400</v>
      </c>
      <c r="B126" s="3" t="s">
        <v>255</v>
      </c>
      <c r="C126" s="3" t="s">
        <v>16</v>
      </c>
      <c r="D126" s="3" t="str">
        <f t="shared" si="114"/>
        <v>0</v>
      </c>
      <c r="E126" s="3" t="s">
        <v>17</v>
      </c>
      <c r="F126" s="3" t="s">
        <v>17</v>
      </c>
      <c r="G126" s="3" t="s">
        <v>25</v>
      </c>
      <c r="H126" s="3" t="str">
        <f t="shared" si="109"/>
        <v>0</v>
      </c>
      <c r="I126" s="3" t="str">
        <f t="shared" si="110"/>
        <v>0</v>
      </c>
      <c r="J126" s="3" t="str">
        <f t="shared" si="115"/>
        <v>5</v>
      </c>
      <c r="K126" s="3" t="str">
        <f>"2689.2"</f>
        <v>2689.2</v>
      </c>
      <c r="L126" s="3" t="str">
        <f>"1613.52"</f>
        <v>1613.52</v>
      </c>
      <c r="M126" s="3" t="str">
        <f t="shared" si="70"/>
        <v>20240516</v>
      </c>
      <c r="N126" s="3" t="s">
        <v>256</v>
      </c>
    </row>
    <row r="127" spans="1:14">
      <c r="A127" s="3" t="str">
        <f>"661506217934600"</f>
        <v>661506217934600</v>
      </c>
      <c r="B127" s="3" t="s">
        <v>257</v>
      </c>
      <c r="C127" s="3" t="s">
        <v>16</v>
      </c>
      <c r="D127" s="3" t="str">
        <f t="shared" si="114"/>
        <v>0</v>
      </c>
      <c r="E127" s="3" t="s">
        <v>17</v>
      </c>
      <c r="F127" s="3" t="s">
        <v>17</v>
      </c>
      <c r="G127" s="3" t="s">
        <v>25</v>
      </c>
      <c r="H127" s="3" t="str">
        <f t="shared" si="109"/>
        <v>0</v>
      </c>
      <c r="I127" s="3"/>
      <c r="J127" s="3" t="str">
        <f>"23"</f>
        <v>23</v>
      </c>
      <c r="K127" s="3" t="str">
        <f>"13061.4"</f>
        <v>13061.4</v>
      </c>
      <c r="L127" s="3" t="str">
        <f>"7836.84"</f>
        <v>7836.84</v>
      </c>
      <c r="M127" s="3" t="str">
        <f t="shared" si="70"/>
        <v>20240516</v>
      </c>
      <c r="N127" s="3" t="s">
        <v>258</v>
      </c>
    </row>
    <row r="128" spans="1:14">
      <c r="A128" s="3" t="str">
        <f>"661506217926400"</f>
        <v>661506217926400</v>
      </c>
      <c r="B128" s="3" t="s">
        <v>259</v>
      </c>
      <c r="C128" s="3" t="s">
        <v>16</v>
      </c>
      <c r="D128" s="3" t="str">
        <f t="shared" si="114"/>
        <v>0</v>
      </c>
      <c r="E128" s="3" t="s">
        <v>17</v>
      </c>
      <c r="F128" s="3" t="s">
        <v>17</v>
      </c>
      <c r="G128" s="3" t="s">
        <v>25</v>
      </c>
      <c r="H128" s="3" t="str">
        <f t="shared" si="109"/>
        <v>0</v>
      </c>
      <c r="I128" s="3" t="str">
        <f t="shared" ref="I128:I148" si="116">"0"</f>
        <v>0</v>
      </c>
      <c r="J128" s="3" t="str">
        <f>"5"</f>
        <v>5</v>
      </c>
      <c r="K128" s="3" t="str">
        <f>"3680"</f>
        <v>3680</v>
      </c>
      <c r="L128" s="3" t="str">
        <f>"2208"</f>
        <v>2208</v>
      </c>
      <c r="M128" s="3" t="str">
        <f t="shared" si="70"/>
        <v>20240516</v>
      </c>
      <c r="N128" s="3" t="s">
        <v>260</v>
      </c>
    </row>
    <row r="129" spans="1:14">
      <c r="A129" s="3" t="str">
        <f>"661506217924400"</f>
        <v>661506217924400</v>
      </c>
      <c r="B129" s="3" t="s">
        <v>261</v>
      </c>
      <c r="C129" s="3" t="s">
        <v>16</v>
      </c>
      <c r="D129" s="3" t="str">
        <f t="shared" si="114"/>
        <v>0</v>
      </c>
      <c r="E129" s="3" t="s">
        <v>17</v>
      </c>
      <c r="F129" s="3" t="s">
        <v>17</v>
      </c>
      <c r="G129" s="3" t="s">
        <v>18</v>
      </c>
      <c r="H129" s="3" t="str">
        <f t="shared" si="109"/>
        <v>0</v>
      </c>
      <c r="I129" s="3" t="str">
        <f t="shared" si="116"/>
        <v>0</v>
      </c>
      <c r="J129" s="3" t="str">
        <f>"1"</f>
        <v>1</v>
      </c>
      <c r="K129" s="3" t="str">
        <f>"537.84"</f>
        <v>537.84</v>
      </c>
      <c r="L129" s="3" t="str">
        <f>"322.7"</f>
        <v>322.7</v>
      </c>
      <c r="M129" s="3" t="str">
        <f t="shared" si="70"/>
        <v>20240516</v>
      </c>
      <c r="N129" s="3" t="s">
        <v>262</v>
      </c>
    </row>
    <row r="130" spans="1:14">
      <c r="A130" s="3" t="str">
        <f>"661506217916400"</f>
        <v>661506217916400</v>
      </c>
      <c r="B130" s="3" t="s">
        <v>263</v>
      </c>
      <c r="C130" s="3"/>
      <c r="D130" s="3" t="str">
        <f t="shared" si="114"/>
        <v>0</v>
      </c>
      <c r="E130" s="3" t="s">
        <v>17</v>
      </c>
      <c r="F130" s="3" t="s">
        <v>17</v>
      </c>
      <c r="G130" s="3" t="s">
        <v>25</v>
      </c>
      <c r="H130" s="3" t="str">
        <f t="shared" si="109"/>
        <v>0</v>
      </c>
      <c r="I130" s="3" t="str">
        <f t="shared" si="116"/>
        <v>0</v>
      </c>
      <c r="J130" s="3" t="str">
        <f>"19"</f>
        <v>19</v>
      </c>
      <c r="K130" s="3" t="str">
        <f>"11304.72"</f>
        <v>11304.72</v>
      </c>
      <c r="L130" s="3" t="str">
        <f>"6782.83"</f>
        <v>6782.83</v>
      </c>
      <c r="M130" s="3" t="str">
        <f t="shared" si="70"/>
        <v>20240516</v>
      </c>
      <c r="N130" s="3" t="str">
        <f>"911506215669377162"</f>
        <v>911506215669377162</v>
      </c>
    </row>
    <row r="131" spans="1:14">
      <c r="A131" s="3" t="str">
        <f>"661506217892800"</f>
        <v>661506217892800</v>
      </c>
      <c r="B131" s="3" t="s">
        <v>264</v>
      </c>
      <c r="C131" s="3"/>
      <c r="D131" s="3" t="str">
        <f t="shared" si="114"/>
        <v>0</v>
      </c>
      <c r="E131" s="3" t="s">
        <v>17</v>
      </c>
      <c r="F131" s="3" t="s">
        <v>17</v>
      </c>
      <c r="G131" s="3" t="s">
        <v>25</v>
      </c>
      <c r="H131" s="3" t="str">
        <f t="shared" si="109"/>
        <v>0</v>
      </c>
      <c r="I131" s="3" t="str">
        <f t="shared" si="116"/>
        <v>0</v>
      </c>
      <c r="J131" s="3" t="str">
        <f>"4"</f>
        <v>4</v>
      </c>
      <c r="K131" s="3" t="str">
        <f>"2151.36"</f>
        <v>2151.36</v>
      </c>
      <c r="L131" s="3" t="str">
        <f>"1290.82"</f>
        <v>1290.82</v>
      </c>
      <c r="M131" s="3" t="str">
        <f t="shared" ref="M131:M194" si="117">"20240516"</f>
        <v>20240516</v>
      </c>
      <c r="N131" s="3" t="s">
        <v>265</v>
      </c>
    </row>
    <row r="132" spans="1:14">
      <c r="A132" s="3" t="str">
        <f>"661506217870400"</f>
        <v>661506217870400</v>
      </c>
      <c r="B132" s="3" t="s">
        <v>266</v>
      </c>
      <c r="C132" s="3" t="s">
        <v>16</v>
      </c>
      <c r="D132" s="3" t="str">
        <f t="shared" si="114"/>
        <v>0</v>
      </c>
      <c r="E132" s="3" t="s">
        <v>17</v>
      </c>
      <c r="F132" s="3" t="s">
        <v>17</v>
      </c>
      <c r="G132" s="3" t="s">
        <v>18</v>
      </c>
      <c r="H132" s="3" t="str">
        <f t="shared" si="109"/>
        <v>0</v>
      </c>
      <c r="I132" s="3" t="str">
        <f t="shared" si="116"/>
        <v>0</v>
      </c>
      <c r="J132" s="3" t="str">
        <f>"4"</f>
        <v>4</v>
      </c>
      <c r="K132" s="3" t="str">
        <f>"2196.18"</f>
        <v>2196.18</v>
      </c>
      <c r="L132" s="3" t="str">
        <f>"1317.71"</f>
        <v>1317.71</v>
      </c>
      <c r="M132" s="3" t="str">
        <f t="shared" si="117"/>
        <v>20240516</v>
      </c>
      <c r="N132" s="3" t="s">
        <v>267</v>
      </c>
    </row>
    <row r="133" spans="1:14">
      <c r="A133" s="3" t="str">
        <f>"661506217852800"</f>
        <v>661506217852800</v>
      </c>
      <c r="B133" s="3" t="s">
        <v>268</v>
      </c>
      <c r="C133" s="3" t="s">
        <v>16</v>
      </c>
      <c r="D133" s="3" t="str">
        <f t="shared" si="114"/>
        <v>0</v>
      </c>
      <c r="E133" s="3" t="s">
        <v>17</v>
      </c>
      <c r="F133" s="3" t="s">
        <v>17</v>
      </c>
      <c r="G133" s="3" t="s">
        <v>18</v>
      </c>
      <c r="H133" s="3" t="str">
        <f t="shared" si="109"/>
        <v>0</v>
      </c>
      <c r="I133" s="3" t="str">
        <f t="shared" si="116"/>
        <v>0</v>
      </c>
      <c r="J133" s="3" t="str">
        <f>"7"</f>
        <v>7</v>
      </c>
      <c r="K133" s="3" t="str">
        <f>"6049.1"</f>
        <v>6049.1</v>
      </c>
      <c r="L133" s="3" t="str">
        <f>"3629.46"</f>
        <v>3629.46</v>
      </c>
      <c r="M133" s="3" t="str">
        <f t="shared" si="117"/>
        <v>20240516</v>
      </c>
      <c r="N133" s="3" t="s">
        <v>269</v>
      </c>
    </row>
    <row r="134" spans="1:14">
      <c r="A134" s="3" t="str">
        <f>"661506217852600"</f>
        <v>661506217852600</v>
      </c>
      <c r="B134" s="3" t="s">
        <v>270</v>
      </c>
      <c r="C134" s="3" t="s">
        <v>16</v>
      </c>
      <c r="D134" s="3" t="str">
        <f t="shared" si="114"/>
        <v>0</v>
      </c>
      <c r="E134" s="3" t="s">
        <v>17</v>
      </c>
      <c r="F134" s="3" t="s">
        <v>17</v>
      </c>
      <c r="G134" s="3" t="s">
        <v>18</v>
      </c>
      <c r="H134" s="3" t="str">
        <f t="shared" si="109"/>
        <v>0</v>
      </c>
      <c r="I134" s="3" t="str">
        <f t="shared" si="116"/>
        <v>0</v>
      </c>
      <c r="J134" s="3" t="str">
        <f>"14"</f>
        <v>14</v>
      </c>
      <c r="K134" s="3" t="str">
        <f>"12987.12"</f>
        <v>12987.12</v>
      </c>
      <c r="L134" s="3" t="str">
        <f>"7792.27"</f>
        <v>7792.27</v>
      </c>
      <c r="M134" s="3" t="str">
        <f t="shared" si="117"/>
        <v>20240516</v>
      </c>
      <c r="N134" s="3" t="s">
        <v>271</v>
      </c>
    </row>
    <row r="135" spans="1:14">
      <c r="A135" s="3" t="str">
        <f>"661506217846700"</f>
        <v>661506217846700</v>
      </c>
      <c r="B135" s="3" t="s">
        <v>272</v>
      </c>
      <c r="C135" s="3"/>
      <c r="D135" s="3" t="str">
        <f t="shared" si="114"/>
        <v>0</v>
      </c>
      <c r="E135" s="3" t="s">
        <v>17</v>
      </c>
      <c r="F135" s="3" t="s">
        <v>17</v>
      </c>
      <c r="G135" s="3" t="s">
        <v>25</v>
      </c>
      <c r="H135" s="3" t="str">
        <f t="shared" si="109"/>
        <v>0</v>
      </c>
      <c r="I135" s="3" t="str">
        <f t="shared" si="116"/>
        <v>0</v>
      </c>
      <c r="J135" s="3" t="str">
        <f>"3"</f>
        <v>3</v>
      </c>
      <c r="K135" s="3" t="str">
        <f>"2940.16"</f>
        <v>2940.16</v>
      </c>
      <c r="L135" s="3" t="str">
        <f>"1764.1"</f>
        <v>1764.1</v>
      </c>
      <c r="M135" s="3" t="str">
        <f t="shared" si="117"/>
        <v>20240516</v>
      </c>
      <c r="N135" s="3" t="s">
        <v>273</v>
      </c>
    </row>
    <row r="136" spans="1:14">
      <c r="A136" s="3" t="str">
        <f>"661506217799000"</f>
        <v>661506217799000</v>
      </c>
      <c r="B136" s="3" t="s">
        <v>274</v>
      </c>
      <c r="C136" s="3" t="s">
        <v>16</v>
      </c>
      <c r="D136" s="3" t="str">
        <f t="shared" si="114"/>
        <v>0</v>
      </c>
      <c r="E136" s="3" t="s">
        <v>17</v>
      </c>
      <c r="F136" s="3" t="s">
        <v>17</v>
      </c>
      <c r="G136" s="3" t="s">
        <v>25</v>
      </c>
      <c r="H136" s="3" t="str">
        <f t="shared" si="109"/>
        <v>0</v>
      </c>
      <c r="I136" s="3" t="str">
        <f t="shared" si="116"/>
        <v>0</v>
      </c>
      <c r="J136" s="3" t="str">
        <f>"2"</f>
        <v>2</v>
      </c>
      <c r="K136" s="3" t="str">
        <f>"1075.68"</f>
        <v>1075.68</v>
      </c>
      <c r="L136" s="3" t="str">
        <f>"645.41"</f>
        <v>645.41</v>
      </c>
      <c r="M136" s="3" t="str">
        <f t="shared" si="117"/>
        <v>20240516</v>
      </c>
      <c r="N136" s="3" t="s">
        <v>275</v>
      </c>
    </row>
    <row r="137" spans="1:14">
      <c r="A137" s="3" t="str">
        <f>"661506217792800"</f>
        <v>661506217792800</v>
      </c>
      <c r="B137" s="3" t="s">
        <v>276</v>
      </c>
      <c r="C137" s="3" t="s">
        <v>16</v>
      </c>
      <c r="D137" s="3" t="str">
        <f t="shared" si="114"/>
        <v>0</v>
      </c>
      <c r="E137" s="3" t="s">
        <v>17</v>
      </c>
      <c r="F137" s="3" t="s">
        <v>17</v>
      </c>
      <c r="G137" s="3" t="s">
        <v>25</v>
      </c>
      <c r="H137" s="3" t="str">
        <f t="shared" si="109"/>
        <v>0</v>
      </c>
      <c r="I137" s="3" t="str">
        <f t="shared" si="116"/>
        <v>0</v>
      </c>
      <c r="J137" s="3" t="str">
        <f>"5"</f>
        <v>5</v>
      </c>
      <c r="K137" s="3" t="str">
        <f>"2737.84"</f>
        <v>2737.84</v>
      </c>
      <c r="L137" s="3" t="str">
        <f>"1642.7"</f>
        <v>1642.7</v>
      </c>
      <c r="M137" s="3" t="str">
        <f t="shared" si="117"/>
        <v>20240516</v>
      </c>
      <c r="N137" s="3" t="s">
        <v>277</v>
      </c>
    </row>
    <row r="138" spans="1:14">
      <c r="A138" s="3" t="str">
        <f>"661506217788500"</f>
        <v>661506217788500</v>
      </c>
      <c r="B138" s="3" t="s">
        <v>278</v>
      </c>
      <c r="C138" s="3" t="s">
        <v>16</v>
      </c>
      <c r="D138" s="3" t="str">
        <f t="shared" si="114"/>
        <v>0</v>
      </c>
      <c r="E138" s="3" t="s">
        <v>17</v>
      </c>
      <c r="F138" s="3" t="s">
        <v>17</v>
      </c>
      <c r="G138" s="3" t="s">
        <v>25</v>
      </c>
      <c r="H138" s="3" t="str">
        <f t="shared" si="109"/>
        <v>0</v>
      </c>
      <c r="I138" s="3" t="str">
        <f t="shared" si="116"/>
        <v>0</v>
      </c>
      <c r="J138" s="3" t="str">
        <f>"110"</f>
        <v>110</v>
      </c>
      <c r="K138" s="3" t="str">
        <f>"59655.42"</f>
        <v>59655.42</v>
      </c>
      <c r="L138" s="3" t="str">
        <f>"35793.25"</f>
        <v>35793.25</v>
      </c>
      <c r="M138" s="3" t="str">
        <f t="shared" si="117"/>
        <v>20240516</v>
      </c>
      <c r="N138" s="3" t="s">
        <v>279</v>
      </c>
    </row>
    <row r="139" spans="1:14">
      <c r="A139" s="3" t="str">
        <f>"661506217778700"</f>
        <v>661506217778700</v>
      </c>
      <c r="B139" s="3" t="s">
        <v>280</v>
      </c>
      <c r="C139" s="3" t="s">
        <v>16</v>
      </c>
      <c r="D139" s="3" t="str">
        <f t="shared" si="114"/>
        <v>0</v>
      </c>
      <c r="E139" s="3" t="s">
        <v>17</v>
      </c>
      <c r="F139" s="3" t="s">
        <v>17</v>
      </c>
      <c r="G139" s="3" t="s">
        <v>25</v>
      </c>
      <c r="H139" s="3" t="str">
        <f t="shared" si="109"/>
        <v>0</v>
      </c>
      <c r="I139" s="3" t="str">
        <f t="shared" si="116"/>
        <v>0</v>
      </c>
      <c r="J139" s="3" t="str">
        <f>"6"</f>
        <v>6</v>
      </c>
      <c r="K139" s="3" t="str">
        <f>"4558.78"</f>
        <v>4558.78</v>
      </c>
      <c r="L139" s="3" t="str">
        <f>"2735.27"</f>
        <v>2735.27</v>
      </c>
      <c r="M139" s="3" t="str">
        <f t="shared" si="117"/>
        <v>20240516</v>
      </c>
      <c r="N139" s="3" t="s">
        <v>281</v>
      </c>
    </row>
    <row r="140" spans="1:14">
      <c r="A140" s="3" t="str">
        <f>"661506217770400"</f>
        <v>661506217770400</v>
      </c>
      <c r="B140" s="3" t="s">
        <v>282</v>
      </c>
      <c r="C140" s="3" t="s">
        <v>16</v>
      </c>
      <c r="D140" s="3" t="str">
        <f t="shared" si="114"/>
        <v>0</v>
      </c>
      <c r="E140" s="3" t="s">
        <v>17</v>
      </c>
      <c r="F140" s="3" t="s">
        <v>17</v>
      </c>
      <c r="G140" s="3" t="s">
        <v>25</v>
      </c>
      <c r="H140" s="3" t="str">
        <f t="shared" si="109"/>
        <v>0</v>
      </c>
      <c r="I140" s="3" t="str">
        <f t="shared" si="116"/>
        <v>0</v>
      </c>
      <c r="J140" s="3" t="str">
        <f>"1"</f>
        <v>1</v>
      </c>
      <c r="K140" s="3" t="str">
        <f>"806.76"</f>
        <v>806.76</v>
      </c>
      <c r="L140" s="3" t="str">
        <f>"484.06"</f>
        <v>484.06</v>
      </c>
      <c r="M140" s="3" t="str">
        <f t="shared" si="117"/>
        <v>20240516</v>
      </c>
      <c r="N140" s="3" t="s">
        <v>283</v>
      </c>
    </row>
    <row r="141" spans="1:14">
      <c r="A141" s="3" t="str">
        <f>"661506217760400"</f>
        <v>661506217760400</v>
      </c>
      <c r="B141" s="3" t="s">
        <v>284</v>
      </c>
      <c r="C141" s="3" t="s">
        <v>16</v>
      </c>
      <c r="D141" s="3" t="str">
        <f t="shared" si="114"/>
        <v>0</v>
      </c>
      <c r="E141" s="3" t="s">
        <v>17</v>
      </c>
      <c r="F141" s="3" t="s">
        <v>17</v>
      </c>
      <c r="G141" s="3" t="s">
        <v>18</v>
      </c>
      <c r="H141" s="3" t="str">
        <f t="shared" si="109"/>
        <v>0</v>
      </c>
      <c r="I141" s="3" t="str">
        <f t="shared" si="116"/>
        <v>0</v>
      </c>
      <c r="J141" s="3" t="str">
        <f>"4"</f>
        <v>4</v>
      </c>
      <c r="K141" s="3" t="str">
        <f>"2151.36"</f>
        <v>2151.36</v>
      </c>
      <c r="L141" s="3" t="str">
        <f>"1290.82"</f>
        <v>1290.82</v>
      </c>
      <c r="M141" s="3" t="str">
        <f t="shared" si="117"/>
        <v>20240516</v>
      </c>
      <c r="N141" s="3" t="s">
        <v>285</v>
      </c>
    </row>
    <row r="142" spans="1:14">
      <c r="A142" s="3" t="str">
        <f>"661506217748400"</f>
        <v>661506217748400</v>
      </c>
      <c r="B142" s="3" t="s">
        <v>286</v>
      </c>
      <c r="C142" s="3" t="s">
        <v>16</v>
      </c>
      <c r="D142" s="3" t="str">
        <f t="shared" si="114"/>
        <v>0</v>
      </c>
      <c r="E142" s="3" t="s">
        <v>17</v>
      </c>
      <c r="F142" s="3" t="s">
        <v>17</v>
      </c>
      <c r="G142" s="3" t="s">
        <v>25</v>
      </c>
      <c r="H142" s="3" t="str">
        <f t="shared" si="109"/>
        <v>0</v>
      </c>
      <c r="I142" s="3" t="str">
        <f t="shared" si="116"/>
        <v>0</v>
      </c>
      <c r="J142" s="3" t="str">
        <f>"23"</f>
        <v>23</v>
      </c>
      <c r="K142" s="3" t="str">
        <f>"15478.26"</f>
        <v>15478.26</v>
      </c>
      <c r="L142" s="3" t="str">
        <f>"9286.96"</f>
        <v>9286.96</v>
      </c>
      <c r="M142" s="3" t="str">
        <f t="shared" si="117"/>
        <v>20240516</v>
      </c>
      <c r="N142" s="3" t="s">
        <v>287</v>
      </c>
    </row>
    <row r="143" spans="1:14">
      <c r="A143" s="3" t="str">
        <f>"661506217728700"</f>
        <v>661506217728700</v>
      </c>
      <c r="B143" s="3" t="s">
        <v>288</v>
      </c>
      <c r="C143" s="3" t="s">
        <v>16</v>
      </c>
      <c r="D143" s="3" t="str">
        <f t="shared" si="114"/>
        <v>0</v>
      </c>
      <c r="E143" s="3" t="s">
        <v>17</v>
      </c>
      <c r="F143" s="3" t="s">
        <v>17</v>
      </c>
      <c r="G143" s="3" t="s">
        <v>18</v>
      </c>
      <c r="H143" s="3" t="str">
        <f t="shared" si="109"/>
        <v>0</v>
      </c>
      <c r="I143" s="3" t="str">
        <f t="shared" si="116"/>
        <v>0</v>
      </c>
      <c r="J143" s="3" t="str">
        <f>"18"</f>
        <v>18</v>
      </c>
      <c r="K143" s="3" t="str">
        <f>"13333.64"</f>
        <v>13333.64</v>
      </c>
      <c r="L143" s="3" t="str">
        <f>"8000.18"</f>
        <v>8000.18</v>
      </c>
      <c r="M143" s="3" t="str">
        <f t="shared" si="117"/>
        <v>20240516</v>
      </c>
      <c r="N143" s="3" t="s">
        <v>289</v>
      </c>
    </row>
    <row r="144" spans="1:14">
      <c r="A144" s="3" t="str">
        <f>"661506217728600"</f>
        <v>661506217728600</v>
      </c>
      <c r="B144" s="3" t="s">
        <v>290</v>
      </c>
      <c r="C144" s="3" t="s">
        <v>16</v>
      </c>
      <c r="D144" s="3" t="str">
        <f t="shared" si="114"/>
        <v>0</v>
      </c>
      <c r="E144" s="3" t="s">
        <v>17</v>
      </c>
      <c r="F144" s="3" t="s">
        <v>17</v>
      </c>
      <c r="G144" s="3" t="s">
        <v>25</v>
      </c>
      <c r="H144" s="3" t="str">
        <f t="shared" si="109"/>
        <v>0</v>
      </c>
      <c r="I144" s="3" t="str">
        <f t="shared" si="116"/>
        <v>0</v>
      </c>
      <c r="J144" s="3" t="str">
        <f>"9"</f>
        <v>9</v>
      </c>
      <c r="K144" s="3" t="str">
        <f>"12615.58"</f>
        <v>12615.58</v>
      </c>
      <c r="L144" s="3" t="str">
        <f>"7569.35"</f>
        <v>7569.35</v>
      </c>
      <c r="M144" s="3" t="str">
        <f t="shared" si="117"/>
        <v>20240516</v>
      </c>
      <c r="N144" s="3" t="s">
        <v>291</v>
      </c>
    </row>
    <row r="145" spans="1:14">
      <c r="A145" s="3" t="str">
        <f>"661506217728400"</f>
        <v>661506217728400</v>
      </c>
      <c r="B145" s="3" t="s">
        <v>292</v>
      </c>
      <c r="C145" s="3" t="s">
        <v>16</v>
      </c>
      <c r="D145" s="3" t="str">
        <f t="shared" si="114"/>
        <v>0</v>
      </c>
      <c r="E145" s="3" t="s">
        <v>17</v>
      </c>
      <c r="F145" s="3" t="s">
        <v>17</v>
      </c>
      <c r="G145" s="3" t="s">
        <v>16</v>
      </c>
      <c r="H145" s="3" t="str">
        <f t="shared" si="109"/>
        <v>0</v>
      </c>
      <c r="I145" s="3" t="str">
        <f t="shared" si="116"/>
        <v>0</v>
      </c>
      <c r="J145" s="3" t="str">
        <f>"5"</f>
        <v>5</v>
      </c>
      <c r="K145" s="3" t="str">
        <f>"5773.72"</f>
        <v>5773.72</v>
      </c>
      <c r="L145" s="3" t="str">
        <f>"1732.12"</f>
        <v>1732.12</v>
      </c>
      <c r="M145" s="3" t="str">
        <f t="shared" si="117"/>
        <v>20240516</v>
      </c>
      <c r="N145" s="3" t="s">
        <v>293</v>
      </c>
    </row>
    <row r="146" spans="1:14">
      <c r="A146" s="3" t="str">
        <f>"661506217722400"</f>
        <v>661506217722400</v>
      </c>
      <c r="B146" s="3" t="s">
        <v>294</v>
      </c>
      <c r="C146" s="3" t="s">
        <v>16</v>
      </c>
      <c r="D146" s="3" t="str">
        <f t="shared" si="114"/>
        <v>0</v>
      </c>
      <c r="E146" s="3" t="s">
        <v>17</v>
      </c>
      <c r="F146" s="3" t="s">
        <v>17</v>
      </c>
      <c r="G146" s="3" t="s">
        <v>18</v>
      </c>
      <c r="H146" s="3" t="str">
        <f t="shared" si="109"/>
        <v>0</v>
      </c>
      <c r="I146" s="3" t="str">
        <f t="shared" si="116"/>
        <v>0</v>
      </c>
      <c r="J146" s="3" t="str">
        <f>"1"</f>
        <v>1</v>
      </c>
      <c r="K146" s="3" t="str">
        <f>"537.84"</f>
        <v>537.84</v>
      </c>
      <c r="L146" s="3" t="str">
        <f>"322.7"</f>
        <v>322.7</v>
      </c>
      <c r="M146" s="3" t="str">
        <f t="shared" si="117"/>
        <v>20240516</v>
      </c>
      <c r="N146" s="3" t="s">
        <v>295</v>
      </c>
    </row>
    <row r="147" spans="1:14">
      <c r="A147" s="3" t="str">
        <f>"661506217684400"</f>
        <v>661506217684400</v>
      </c>
      <c r="B147" s="3" t="s">
        <v>296</v>
      </c>
      <c r="C147" s="3" t="s">
        <v>16</v>
      </c>
      <c r="D147" s="3" t="str">
        <f t="shared" si="114"/>
        <v>0</v>
      </c>
      <c r="E147" s="3" t="s">
        <v>17</v>
      </c>
      <c r="F147" s="3" t="s">
        <v>17</v>
      </c>
      <c r="G147" s="3" t="s">
        <v>18</v>
      </c>
      <c r="H147" s="3" t="str">
        <f t="shared" si="109"/>
        <v>0</v>
      </c>
      <c r="I147" s="3" t="str">
        <f t="shared" si="116"/>
        <v>0</v>
      </c>
      <c r="J147" s="3" t="str">
        <f>"19"</f>
        <v>19</v>
      </c>
      <c r="K147" s="3" t="str">
        <f>"10667.16"</f>
        <v>10667.16</v>
      </c>
      <c r="L147" s="3" t="str">
        <f>"6400.3"</f>
        <v>6400.3</v>
      </c>
      <c r="M147" s="3" t="str">
        <f t="shared" si="117"/>
        <v>20240516</v>
      </c>
      <c r="N147" s="3" t="s">
        <v>297</v>
      </c>
    </row>
    <row r="148" spans="1:14">
      <c r="A148" s="3" t="str">
        <f>"661506217588800"</f>
        <v>661506217588800</v>
      </c>
      <c r="B148" s="3" t="s">
        <v>298</v>
      </c>
      <c r="C148" s="3"/>
      <c r="D148" s="3" t="str">
        <f t="shared" si="114"/>
        <v>0</v>
      </c>
      <c r="E148" s="3" t="s">
        <v>17</v>
      </c>
      <c r="F148" s="3" t="s">
        <v>17</v>
      </c>
      <c r="G148" s="3" t="s">
        <v>25</v>
      </c>
      <c r="H148" s="3" t="str">
        <f t="shared" si="109"/>
        <v>0</v>
      </c>
      <c r="I148" s="3" t="str">
        <f t="shared" si="116"/>
        <v>0</v>
      </c>
      <c r="J148" s="3" t="str">
        <f>"7"</f>
        <v>7</v>
      </c>
      <c r="K148" s="3" t="str">
        <f>"4033.8"</f>
        <v>4033.8</v>
      </c>
      <c r="L148" s="3" t="str">
        <f>"2420.28"</f>
        <v>2420.28</v>
      </c>
      <c r="M148" s="3" t="str">
        <f t="shared" si="117"/>
        <v>20240516</v>
      </c>
      <c r="N148" s="3" t="s">
        <v>299</v>
      </c>
    </row>
    <row r="149" spans="1:14">
      <c r="A149" s="3" t="str">
        <f>"661506217588700"</f>
        <v>661506217588700</v>
      </c>
      <c r="B149" s="3" t="s">
        <v>300</v>
      </c>
      <c r="C149" s="3" t="s">
        <v>16</v>
      </c>
      <c r="D149" s="3" t="str">
        <f t="shared" si="114"/>
        <v>0</v>
      </c>
      <c r="E149" s="3" t="s">
        <v>17</v>
      </c>
      <c r="F149" s="3" t="s">
        <v>17</v>
      </c>
      <c r="G149" s="3" t="s">
        <v>25</v>
      </c>
      <c r="H149" s="3"/>
      <c r="I149" s="3"/>
      <c r="J149" s="3" t="str">
        <f>"6"</f>
        <v>6</v>
      </c>
      <c r="K149" s="3" t="str">
        <f>"3361.5"</f>
        <v>3361.5</v>
      </c>
      <c r="L149" s="3" t="str">
        <f>"2016.9"</f>
        <v>2016.9</v>
      </c>
      <c r="M149" s="3" t="str">
        <f t="shared" si="117"/>
        <v>20240516</v>
      </c>
      <c r="N149" s="3" t="str">
        <f>"911506210783562265"</f>
        <v>911506210783562265</v>
      </c>
    </row>
    <row r="150" spans="1:14">
      <c r="A150" s="3" t="str">
        <f>"661506217586500"</f>
        <v>661506217586500</v>
      </c>
      <c r="B150" s="3" t="s">
        <v>301</v>
      </c>
      <c r="C150" s="3" t="s">
        <v>16</v>
      </c>
      <c r="D150" s="3" t="str">
        <f t="shared" si="114"/>
        <v>0</v>
      </c>
      <c r="E150" s="3" t="s">
        <v>17</v>
      </c>
      <c r="F150" s="3" t="s">
        <v>17</v>
      </c>
      <c r="G150" s="3" t="s">
        <v>16</v>
      </c>
      <c r="H150" s="3" t="str">
        <f t="shared" ref="H150:H194" si="118">"0"</f>
        <v>0</v>
      </c>
      <c r="I150" s="3" t="str">
        <f t="shared" ref="I150:I194" si="119">"0"</f>
        <v>0</v>
      </c>
      <c r="J150" s="3" t="str">
        <f>"3"</f>
        <v>3</v>
      </c>
      <c r="K150" s="3" t="str">
        <f>"1613.52"</f>
        <v>1613.52</v>
      </c>
      <c r="L150" s="3" t="str">
        <f>"484.06"</f>
        <v>484.06</v>
      </c>
      <c r="M150" s="3" t="str">
        <f t="shared" si="117"/>
        <v>20240516</v>
      </c>
      <c r="N150" s="3" t="s">
        <v>302</v>
      </c>
    </row>
    <row r="151" spans="1:14">
      <c r="A151" s="3" t="str">
        <f>"661506217576400"</f>
        <v>661506217576400</v>
      </c>
      <c r="B151" s="3" t="s">
        <v>303</v>
      </c>
      <c r="C151" s="3" t="s">
        <v>16</v>
      </c>
      <c r="D151" s="3">
        <v>0.14</v>
      </c>
      <c r="E151" s="3" t="s">
        <v>17</v>
      </c>
      <c r="F151" s="3" t="s">
        <v>17</v>
      </c>
      <c r="G151" s="3" t="s">
        <v>18</v>
      </c>
      <c r="H151" s="3" t="str">
        <f t="shared" si="118"/>
        <v>0</v>
      </c>
      <c r="I151" s="3" t="str">
        <f t="shared" si="119"/>
        <v>0</v>
      </c>
      <c r="J151" s="3" t="str">
        <f>"7"</f>
        <v>7</v>
      </c>
      <c r="K151" s="3" t="str">
        <f>"3585.6"</f>
        <v>3585.6</v>
      </c>
      <c r="L151" s="3" t="str">
        <f>"2151.36"</f>
        <v>2151.36</v>
      </c>
      <c r="M151" s="3" t="str">
        <f t="shared" si="117"/>
        <v>20240516</v>
      </c>
      <c r="N151" s="3" t="s">
        <v>304</v>
      </c>
    </row>
    <row r="152" spans="1:14">
      <c r="A152" s="3" t="str">
        <f>"661506217574400"</f>
        <v>661506217574400</v>
      </c>
      <c r="B152" s="3" t="s">
        <v>305</v>
      </c>
      <c r="C152" s="3" t="s">
        <v>16</v>
      </c>
      <c r="D152" s="3" t="str">
        <f t="shared" ref="D152:D161" si="120">"0"</f>
        <v>0</v>
      </c>
      <c r="E152" s="3" t="s">
        <v>17</v>
      </c>
      <c r="F152" s="3" t="s">
        <v>17</v>
      </c>
      <c r="G152" s="3" t="s">
        <v>18</v>
      </c>
      <c r="H152" s="3" t="str">
        <f t="shared" si="118"/>
        <v>0</v>
      </c>
      <c r="I152" s="3" t="str">
        <f t="shared" si="119"/>
        <v>0</v>
      </c>
      <c r="J152" s="3" t="str">
        <f>"14"</f>
        <v>14</v>
      </c>
      <c r="K152" s="3" t="str">
        <f>"14209.8"</f>
        <v>14209.8</v>
      </c>
      <c r="L152" s="3" t="str">
        <f>"8525.88"</f>
        <v>8525.88</v>
      </c>
      <c r="M152" s="3" t="str">
        <f t="shared" si="117"/>
        <v>20240516</v>
      </c>
      <c r="N152" s="3" t="s">
        <v>306</v>
      </c>
    </row>
    <row r="153" spans="1:14">
      <c r="A153" s="3" t="str">
        <f>"661506217568400"</f>
        <v>661506217568400</v>
      </c>
      <c r="B153" s="3" t="s">
        <v>307</v>
      </c>
      <c r="C153" s="3" t="s">
        <v>16</v>
      </c>
      <c r="D153" s="3" t="str">
        <f t="shared" si="120"/>
        <v>0</v>
      </c>
      <c r="E153" s="3" t="s">
        <v>17</v>
      </c>
      <c r="F153" s="3" t="s">
        <v>17</v>
      </c>
      <c r="G153" s="3" t="s">
        <v>25</v>
      </c>
      <c r="H153" s="3" t="str">
        <f t="shared" si="118"/>
        <v>0</v>
      </c>
      <c r="I153" s="3" t="str">
        <f t="shared" si="119"/>
        <v>0</v>
      </c>
      <c r="J153" s="3" t="str">
        <f>"18"</f>
        <v>18</v>
      </c>
      <c r="K153" s="3" t="str">
        <f>"10018.18"</f>
        <v>10018.18</v>
      </c>
      <c r="L153" s="3" t="str">
        <f>"6010.91"</f>
        <v>6010.91</v>
      </c>
      <c r="M153" s="3" t="str">
        <f t="shared" si="117"/>
        <v>20240516</v>
      </c>
      <c r="N153" s="3" t="s">
        <v>308</v>
      </c>
    </row>
    <row r="154" spans="1:14">
      <c r="A154" s="3" t="str">
        <f>"661506217556500"</f>
        <v>661506217556500</v>
      </c>
      <c r="B154" s="3" t="s">
        <v>309</v>
      </c>
      <c r="C154" s="3" t="s">
        <v>16</v>
      </c>
      <c r="D154" s="3" t="str">
        <f t="shared" si="120"/>
        <v>0</v>
      </c>
      <c r="E154" s="3" t="s">
        <v>17</v>
      </c>
      <c r="F154" s="3" t="s">
        <v>17</v>
      </c>
      <c r="G154" s="3" t="s">
        <v>25</v>
      </c>
      <c r="H154" s="3" t="str">
        <f t="shared" si="118"/>
        <v>0</v>
      </c>
      <c r="I154" s="3" t="str">
        <f t="shared" si="119"/>
        <v>0</v>
      </c>
      <c r="J154" s="3" t="str">
        <f>"10"</f>
        <v>10</v>
      </c>
      <c r="K154" s="3" t="str">
        <f>"6274.5"</f>
        <v>6274.5</v>
      </c>
      <c r="L154" s="3" t="str">
        <f>"3764.7"</f>
        <v>3764.7</v>
      </c>
      <c r="M154" s="3" t="str">
        <f t="shared" si="117"/>
        <v>20240516</v>
      </c>
      <c r="N154" s="3" t="s">
        <v>310</v>
      </c>
    </row>
    <row r="155" spans="1:14">
      <c r="A155" s="3" t="str">
        <f>"661506217542700"</f>
        <v>661506217542700</v>
      </c>
      <c r="B155" s="3" t="s">
        <v>311</v>
      </c>
      <c r="C155" s="3" t="s">
        <v>16</v>
      </c>
      <c r="D155" s="3" t="str">
        <f t="shared" si="120"/>
        <v>0</v>
      </c>
      <c r="E155" s="3" t="s">
        <v>17</v>
      </c>
      <c r="F155" s="3" t="s">
        <v>17</v>
      </c>
      <c r="G155" s="3" t="s">
        <v>25</v>
      </c>
      <c r="H155" s="3" t="str">
        <f t="shared" si="118"/>
        <v>0</v>
      </c>
      <c r="I155" s="3" t="str">
        <f t="shared" si="119"/>
        <v>0</v>
      </c>
      <c r="J155" s="3" t="str">
        <f>"5"</f>
        <v>5</v>
      </c>
      <c r="K155" s="3" t="str">
        <f>"2689.2"</f>
        <v>2689.2</v>
      </c>
      <c r="L155" s="3" t="str">
        <f>"1613.52"</f>
        <v>1613.52</v>
      </c>
      <c r="M155" s="3" t="str">
        <f t="shared" si="117"/>
        <v>20240516</v>
      </c>
      <c r="N155" s="3" t="s">
        <v>312</v>
      </c>
    </row>
    <row r="156" spans="1:14">
      <c r="A156" s="3" t="str">
        <f>"661506217528800"</f>
        <v>661506217528800</v>
      </c>
      <c r="B156" s="3" t="s">
        <v>313</v>
      </c>
      <c r="C156" s="3" t="s">
        <v>16</v>
      </c>
      <c r="D156" s="3" t="str">
        <f t="shared" si="120"/>
        <v>0</v>
      </c>
      <c r="E156" s="3" t="s">
        <v>17</v>
      </c>
      <c r="F156" s="3" t="s">
        <v>17</v>
      </c>
      <c r="G156" s="3" t="s">
        <v>25</v>
      </c>
      <c r="H156" s="3" t="str">
        <f t="shared" si="118"/>
        <v>0</v>
      </c>
      <c r="I156" s="3" t="str">
        <f t="shared" si="119"/>
        <v>0</v>
      </c>
      <c r="J156" s="3" t="str">
        <f>"5"</f>
        <v>5</v>
      </c>
      <c r="K156" s="3" t="str">
        <f>"2689.2"</f>
        <v>2689.2</v>
      </c>
      <c r="L156" s="3" t="str">
        <f>"1613.52"</f>
        <v>1613.52</v>
      </c>
      <c r="M156" s="3" t="str">
        <f t="shared" si="117"/>
        <v>20240516</v>
      </c>
      <c r="N156" s="3" t="s">
        <v>314</v>
      </c>
    </row>
    <row r="157" spans="1:14">
      <c r="A157" s="3" t="str">
        <f>"661506217460500"</f>
        <v>661506217460500</v>
      </c>
      <c r="B157" s="3" t="s">
        <v>315</v>
      </c>
      <c r="C157" s="3" t="s">
        <v>16</v>
      </c>
      <c r="D157" s="3" t="str">
        <f t="shared" si="120"/>
        <v>0</v>
      </c>
      <c r="E157" s="3" t="s">
        <v>17</v>
      </c>
      <c r="F157" s="3" t="s">
        <v>17</v>
      </c>
      <c r="G157" s="3" t="s">
        <v>140</v>
      </c>
      <c r="H157" s="3" t="str">
        <f t="shared" si="118"/>
        <v>0</v>
      </c>
      <c r="I157" s="3" t="str">
        <f t="shared" si="119"/>
        <v>0</v>
      </c>
      <c r="J157" s="3" t="str">
        <f>"17"</f>
        <v>17</v>
      </c>
      <c r="K157" s="3" t="str">
        <f>"11235.7"</f>
        <v>11235.7</v>
      </c>
      <c r="L157" s="3" t="str">
        <f>"6741.42"</f>
        <v>6741.42</v>
      </c>
      <c r="M157" s="3" t="str">
        <f t="shared" si="117"/>
        <v>20240516</v>
      </c>
      <c r="N157" s="3" t="s">
        <v>316</v>
      </c>
    </row>
    <row r="158" spans="1:14">
      <c r="A158" s="3" t="str">
        <f>"661506217440500"</f>
        <v>661506217440500</v>
      </c>
      <c r="B158" s="3" t="s">
        <v>317</v>
      </c>
      <c r="C158" s="3" t="s">
        <v>16</v>
      </c>
      <c r="D158" s="3" t="str">
        <f t="shared" si="120"/>
        <v>0</v>
      </c>
      <c r="E158" s="3" t="s">
        <v>17</v>
      </c>
      <c r="F158" s="3" t="s">
        <v>17</v>
      </c>
      <c r="G158" s="3" t="s">
        <v>25</v>
      </c>
      <c r="H158" s="3" t="str">
        <f t="shared" si="118"/>
        <v>0</v>
      </c>
      <c r="I158" s="3" t="str">
        <f t="shared" si="119"/>
        <v>0</v>
      </c>
      <c r="J158" s="3" t="str">
        <f>"1"</f>
        <v>1</v>
      </c>
      <c r="K158" s="3" t="str">
        <f>"537.84"</f>
        <v>537.84</v>
      </c>
      <c r="L158" s="3" t="str">
        <f>"322.7"</f>
        <v>322.7</v>
      </c>
      <c r="M158" s="3" t="str">
        <f t="shared" si="117"/>
        <v>20240516</v>
      </c>
      <c r="N158" s="3" t="s">
        <v>318</v>
      </c>
    </row>
    <row r="159" spans="1:14">
      <c r="A159" s="3" t="str">
        <f>"661506217438500"</f>
        <v>661506217438500</v>
      </c>
      <c r="B159" s="3" t="s">
        <v>319</v>
      </c>
      <c r="C159" s="3" t="s">
        <v>16</v>
      </c>
      <c r="D159" s="3" t="str">
        <f t="shared" si="120"/>
        <v>0</v>
      </c>
      <c r="E159" s="3" t="s">
        <v>17</v>
      </c>
      <c r="F159" s="3" t="s">
        <v>17</v>
      </c>
      <c r="G159" s="3" t="s">
        <v>25</v>
      </c>
      <c r="H159" s="3" t="str">
        <f t="shared" si="118"/>
        <v>0</v>
      </c>
      <c r="I159" s="3" t="str">
        <f t="shared" si="119"/>
        <v>0</v>
      </c>
      <c r="J159" s="3" t="str">
        <f>"3"</f>
        <v>3</v>
      </c>
      <c r="K159" s="3" t="str">
        <f>"1613.52"</f>
        <v>1613.52</v>
      </c>
      <c r="L159" s="3" t="str">
        <f>"968.11"</f>
        <v>968.11</v>
      </c>
      <c r="M159" s="3" t="str">
        <f t="shared" si="117"/>
        <v>20240516</v>
      </c>
      <c r="N159" s="3" t="s">
        <v>320</v>
      </c>
    </row>
    <row r="160" spans="1:14">
      <c r="A160" s="3" t="str">
        <f>"661506217434700"</f>
        <v>661506217434700</v>
      </c>
      <c r="B160" s="3" t="s">
        <v>321</v>
      </c>
      <c r="C160" s="3" t="s">
        <v>16</v>
      </c>
      <c r="D160" s="3" t="str">
        <f t="shared" si="120"/>
        <v>0</v>
      </c>
      <c r="E160" s="3" t="s">
        <v>17</v>
      </c>
      <c r="F160" s="3" t="s">
        <v>17</v>
      </c>
      <c r="G160" s="3" t="s">
        <v>18</v>
      </c>
      <c r="H160" s="3" t="str">
        <f t="shared" si="118"/>
        <v>0</v>
      </c>
      <c r="I160" s="3" t="str">
        <f t="shared" si="119"/>
        <v>0</v>
      </c>
      <c r="J160" s="3" t="str">
        <f>"4"</f>
        <v>4</v>
      </c>
      <c r="K160" s="3" t="str">
        <f>"2517.84"</f>
        <v>2517.84</v>
      </c>
      <c r="L160" s="3" t="str">
        <f>"1510.7"</f>
        <v>1510.7</v>
      </c>
      <c r="M160" s="3" t="str">
        <f t="shared" si="117"/>
        <v>20240516</v>
      </c>
      <c r="N160" s="3" t="s">
        <v>322</v>
      </c>
    </row>
    <row r="161" spans="1:14">
      <c r="A161" s="3" t="str">
        <f>"661506217422400"</f>
        <v>661506217422400</v>
      </c>
      <c r="B161" s="3" t="s">
        <v>323</v>
      </c>
      <c r="C161" s="3" t="s">
        <v>16</v>
      </c>
      <c r="D161" s="3" t="str">
        <f t="shared" si="120"/>
        <v>0</v>
      </c>
      <c r="E161" s="3" t="s">
        <v>17</v>
      </c>
      <c r="F161" s="3" t="s">
        <v>17</v>
      </c>
      <c r="G161" s="3" t="s">
        <v>25</v>
      </c>
      <c r="H161" s="3" t="str">
        <f t="shared" si="118"/>
        <v>0</v>
      </c>
      <c r="I161" s="3" t="str">
        <f t="shared" si="119"/>
        <v>0</v>
      </c>
      <c r="J161" s="3" t="str">
        <f>"1"</f>
        <v>1</v>
      </c>
      <c r="K161" s="3" t="str">
        <f>"537.84"</f>
        <v>537.84</v>
      </c>
      <c r="L161" s="3" t="str">
        <f>"322.7"</f>
        <v>322.7</v>
      </c>
      <c r="M161" s="3" t="str">
        <f t="shared" si="117"/>
        <v>20240516</v>
      </c>
      <c r="N161" s="3" t="s">
        <v>324</v>
      </c>
    </row>
    <row r="162" spans="1:14">
      <c r="A162" s="3" t="str">
        <f>"661506217420400"</f>
        <v>661506217420400</v>
      </c>
      <c r="B162" s="3" t="s">
        <v>325</v>
      </c>
      <c r="C162" s="3" t="s">
        <v>16</v>
      </c>
      <c r="D162" s="3">
        <v>0.17</v>
      </c>
      <c r="E162" s="3" t="s">
        <v>17</v>
      </c>
      <c r="F162" s="3" t="s">
        <v>17</v>
      </c>
      <c r="G162" s="3" t="s">
        <v>25</v>
      </c>
      <c r="H162" s="3" t="str">
        <f t="shared" si="118"/>
        <v>0</v>
      </c>
      <c r="I162" s="3" t="str">
        <f t="shared" si="119"/>
        <v>0</v>
      </c>
      <c r="J162" s="3" t="str">
        <f>"6"</f>
        <v>6</v>
      </c>
      <c r="K162" s="3" t="str">
        <f>"3424.54"</f>
        <v>3424.54</v>
      </c>
      <c r="L162" s="3" t="str">
        <f>"2054.72"</f>
        <v>2054.72</v>
      </c>
      <c r="M162" s="3" t="str">
        <f t="shared" si="117"/>
        <v>20240516</v>
      </c>
      <c r="N162" s="3" t="s">
        <v>326</v>
      </c>
    </row>
    <row r="163" spans="1:14">
      <c r="A163" s="3" t="str">
        <f>"661506217394400"</f>
        <v>661506217394400</v>
      </c>
      <c r="B163" s="3" t="s">
        <v>327</v>
      </c>
      <c r="C163" s="3" t="s">
        <v>16</v>
      </c>
      <c r="D163" s="3" t="str">
        <f t="shared" ref="D163:D165" si="121">"0"</f>
        <v>0</v>
      </c>
      <c r="E163" s="3" t="s">
        <v>17</v>
      </c>
      <c r="F163" s="3" t="s">
        <v>17</v>
      </c>
      <c r="G163" s="3" t="s">
        <v>18</v>
      </c>
      <c r="H163" s="3" t="str">
        <f t="shared" si="118"/>
        <v>0</v>
      </c>
      <c r="I163" s="3" t="str">
        <f t="shared" si="119"/>
        <v>0</v>
      </c>
      <c r="J163" s="3" t="str">
        <f>"14"</f>
        <v>14</v>
      </c>
      <c r="K163" s="3" t="str">
        <f>"9082.72"</f>
        <v>9082.72</v>
      </c>
      <c r="L163" s="3" t="str">
        <f>"5449.63"</f>
        <v>5449.63</v>
      </c>
      <c r="M163" s="3" t="str">
        <f t="shared" si="117"/>
        <v>20240516</v>
      </c>
      <c r="N163" s="3" t="s">
        <v>328</v>
      </c>
    </row>
    <row r="164" spans="1:14">
      <c r="A164" s="3" t="str">
        <f>"661506217347300"</f>
        <v>661506217347300</v>
      </c>
      <c r="B164" s="3" t="s">
        <v>329</v>
      </c>
      <c r="C164" s="3"/>
      <c r="D164" s="3" t="str">
        <f t="shared" si="121"/>
        <v>0</v>
      </c>
      <c r="E164" s="3" t="s">
        <v>17</v>
      </c>
      <c r="F164" s="3" t="s">
        <v>17</v>
      </c>
      <c r="G164" s="3" t="s">
        <v>25</v>
      </c>
      <c r="H164" s="3" t="str">
        <f t="shared" si="118"/>
        <v>0</v>
      </c>
      <c r="I164" s="3" t="str">
        <f t="shared" si="119"/>
        <v>0</v>
      </c>
      <c r="J164" s="3" t="str">
        <f>"2"</f>
        <v>2</v>
      </c>
      <c r="K164" s="3" t="str">
        <f>"1254.96"</f>
        <v>1254.96</v>
      </c>
      <c r="L164" s="3" t="str">
        <f>"752.98"</f>
        <v>752.98</v>
      </c>
      <c r="M164" s="3" t="str">
        <f t="shared" si="117"/>
        <v>20240516</v>
      </c>
      <c r="N164" s="3" t="s">
        <v>330</v>
      </c>
    </row>
    <row r="165" spans="1:14">
      <c r="A165" s="3" t="str">
        <f>"661506217342400"</f>
        <v>661506217342400</v>
      </c>
      <c r="B165" s="3" t="s">
        <v>331</v>
      </c>
      <c r="C165" s="3" t="s">
        <v>16</v>
      </c>
      <c r="D165" s="3" t="str">
        <f t="shared" si="121"/>
        <v>0</v>
      </c>
      <c r="E165" s="3" t="s">
        <v>17</v>
      </c>
      <c r="F165" s="3" t="s">
        <v>17</v>
      </c>
      <c r="G165" s="3" t="s">
        <v>25</v>
      </c>
      <c r="H165" s="3" t="str">
        <f t="shared" si="118"/>
        <v>0</v>
      </c>
      <c r="I165" s="3" t="str">
        <f t="shared" si="119"/>
        <v>0</v>
      </c>
      <c r="J165" s="3" t="str">
        <f>"1"</f>
        <v>1</v>
      </c>
      <c r="K165" s="3" t="str">
        <f>"851.58"</f>
        <v>851.58</v>
      </c>
      <c r="L165" s="3" t="str">
        <f>"510.95"</f>
        <v>510.95</v>
      </c>
      <c r="M165" s="3" t="str">
        <f t="shared" si="117"/>
        <v>20240516</v>
      </c>
      <c r="N165" s="3" t="s">
        <v>332</v>
      </c>
    </row>
    <row r="166" spans="1:14">
      <c r="A166" s="3" t="str">
        <f>"661506217329000"</f>
        <v>661506217329000</v>
      </c>
      <c r="B166" s="3" t="s">
        <v>333</v>
      </c>
      <c r="C166" s="3" t="s">
        <v>16</v>
      </c>
      <c r="D166" s="3">
        <v>0.05</v>
      </c>
      <c r="E166" s="3" t="s">
        <v>17</v>
      </c>
      <c r="F166" s="3" t="s">
        <v>17</v>
      </c>
      <c r="G166" s="3" t="s">
        <v>25</v>
      </c>
      <c r="H166" s="3" t="str">
        <f t="shared" si="118"/>
        <v>0</v>
      </c>
      <c r="I166" s="3" t="str">
        <f t="shared" si="119"/>
        <v>0</v>
      </c>
      <c r="J166" s="3" t="str">
        <f>"22"</f>
        <v>22</v>
      </c>
      <c r="K166" s="3" t="str">
        <f>"12325.5"</f>
        <v>12325.5</v>
      </c>
      <c r="L166" s="3" t="str">
        <f>"7395.3"</f>
        <v>7395.3</v>
      </c>
      <c r="M166" s="3" t="str">
        <f t="shared" si="117"/>
        <v>20240516</v>
      </c>
      <c r="N166" s="3" t="s">
        <v>334</v>
      </c>
    </row>
    <row r="167" spans="1:14">
      <c r="A167" s="3" t="str">
        <f>"661506217312600"</f>
        <v>661506217312600</v>
      </c>
      <c r="B167" s="3" t="s">
        <v>335</v>
      </c>
      <c r="C167" s="3" t="s">
        <v>16</v>
      </c>
      <c r="D167" s="3" t="str">
        <f t="shared" ref="D167:D184" si="122">"0"</f>
        <v>0</v>
      </c>
      <c r="E167" s="3" t="s">
        <v>17</v>
      </c>
      <c r="F167" s="3" t="s">
        <v>17</v>
      </c>
      <c r="G167" s="3" t="s">
        <v>25</v>
      </c>
      <c r="H167" s="3" t="str">
        <f t="shared" si="118"/>
        <v>0</v>
      </c>
      <c r="I167" s="3" t="str">
        <f t="shared" si="119"/>
        <v>0</v>
      </c>
      <c r="J167" s="3" t="str">
        <f>"1"</f>
        <v>1</v>
      </c>
      <c r="K167" s="3" t="str">
        <f>"537.84"</f>
        <v>537.84</v>
      </c>
      <c r="L167" s="3" t="str">
        <f>"322.7"</f>
        <v>322.7</v>
      </c>
      <c r="M167" s="3" t="str">
        <f t="shared" si="117"/>
        <v>20240516</v>
      </c>
      <c r="N167" s="3" t="s">
        <v>336</v>
      </c>
    </row>
    <row r="168" spans="1:14">
      <c r="A168" s="3" t="str">
        <f>"661506217312200"</f>
        <v>661506217312200</v>
      </c>
      <c r="B168" s="3" t="s">
        <v>337</v>
      </c>
      <c r="C168" s="3" t="s">
        <v>16</v>
      </c>
      <c r="D168" s="3" t="str">
        <f t="shared" si="122"/>
        <v>0</v>
      </c>
      <c r="E168" s="3" t="s">
        <v>17</v>
      </c>
      <c r="F168" s="3" t="s">
        <v>17</v>
      </c>
      <c r="G168" s="3" t="s">
        <v>25</v>
      </c>
      <c r="H168" s="3" t="str">
        <f t="shared" si="118"/>
        <v>0</v>
      </c>
      <c r="I168" s="3" t="str">
        <f t="shared" si="119"/>
        <v>0</v>
      </c>
      <c r="J168" s="3" t="str">
        <f>"4"</f>
        <v>4</v>
      </c>
      <c r="K168" s="3" t="str">
        <f>"2573.52"</f>
        <v>2573.52</v>
      </c>
      <c r="L168" s="3" t="str">
        <f>"1544.11"</f>
        <v>1544.11</v>
      </c>
      <c r="M168" s="3" t="str">
        <f t="shared" si="117"/>
        <v>20240516</v>
      </c>
      <c r="N168" s="3" t="s">
        <v>338</v>
      </c>
    </row>
    <row r="169" spans="1:14">
      <c r="A169" s="3" t="str">
        <f>"661506217312100"</f>
        <v>661506217312100</v>
      </c>
      <c r="B169" s="3" t="s">
        <v>339</v>
      </c>
      <c r="C169" s="3" t="s">
        <v>16</v>
      </c>
      <c r="D169" s="3" t="str">
        <f t="shared" si="122"/>
        <v>0</v>
      </c>
      <c r="E169" s="3" t="s">
        <v>17</v>
      </c>
      <c r="F169" s="3" t="s">
        <v>17</v>
      </c>
      <c r="G169" s="3" t="s">
        <v>25</v>
      </c>
      <c r="H169" s="3" t="str">
        <f t="shared" si="118"/>
        <v>0</v>
      </c>
      <c r="I169" s="3" t="str">
        <f t="shared" si="119"/>
        <v>0</v>
      </c>
      <c r="J169" s="3" t="str">
        <f>"2"</f>
        <v>2</v>
      </c>
      <c r="K169" s="3" t="str">
        <f>"1250.86"</f>
        <v>1250.86</v>
      </c>
      <c r="L169" s="3" t="str">
        <f>"750.52"</f>
        <v>750.52</v>
      </c>
      <c r="M169" s="3" t="str">
        <f t="shared" si="117"/>
        <v>20240516</v>
      </c>
      <c r="N169" s="3" t="s">
        <v>340</v>
      </c>
    </row>
    <row r="170" spans="1:14">
      <c r="A170" s="3" t="str">
        <f>"661506217296400"</f>
        <v>661506217296400</v>
      </c>
      <c r="B170" s="3" t="s">
        <v>341</v>
      </c>
      <c r="C170" s="3" t="s">
        <v>16</v>
      </c>
      <c r="D170" s="3" t="str">
        <f t="shared" si="122"/>
        <v>0</v>
      </c>
      <c r="E170" s="3" t="s">
        <v>17</v>
      </c>
      <c r="F170" s="3" t="s">
        <v>17</v>
      </c>
      <c r="G170" s="3" t="s">
        <v>25</v>
      </c>
      <c r="H170" s="3" t="str">
        <f t="shared" si="118"/>
        <v>0</v>
      </c>
      <c r="I170" s="3" t="str">
        <f t="shared" si="119"/>
        <v>0</v>
      </c>
      <c r="J170" s="3" t="str">
        <f>"8"</f>
        <v>8</v>
      </c>
      <c r="K170" s="3" t="str">
        <f>"4791.94"</f>
        <v>4791.94</v>
      </c>
      <c r="L170" s="3" t="str">
        <f>"2875.16"</f>
        <v>2875.16</v>
      </c>
      <c r="M170" s="3" t="str">
        <f t="shared" si="117"/>
        <v>20240516</v>
      </c>
      <c r="N170" s="3" t="s">
        <v>342</v>
      </c>
    </row>
    <row r="171" spans="1:14">
      <c r="A171" s="3" t="str">
        <f>"661506217294600"</f>
        <v>661506217294600</v>
      </c>
      <c r="B171" s="3" t="s">
        <v>343</v>
      </c>
      <c r="C171" s="3" t="s">
        <v>16</v>
      </c>
      <c r="D171" s="3" t="str">
        <f t="shared" si="122"/>
        <v>0</v>
      </c>
      <c r="E171" s="3" t="s">
        <v>17</v>
      </c>
      <c r="F171" s="3" t="s">
        <v>17</v>
      </c>
      <c r="G171" s="3" t="s">
        <v>25</v>
      </c>
      <c r="H171" s="3" t="str">
        <f t="shared" si="118"/>
        <v>0</v>
      </c>
      <c r="I171" s="3" t="str">
        <f t="shared" si="119"/>
        <v>0</v>
      </c>
      <c r="J171" s="3" t="str">
        <f>"1"</f>
        <v>1</v>
      </c>
      <c r="K171" s="3" t="str">
        <f>"717.12"</f>
        <v>717.12</v>
      </c>
      <c r="L171" s="3" t="str">
        <f>"430.27"</f>
        <v>430.27</v>
      </c>
      <c r="M171" s="3" t="str">
        <f t="shared" si="117"/>
        <v>20240516</v>
      </c>
      <c r="N171" s="3" t="s">
        <v>344</v>
      </c>
    </row>
    <row r="172" spans="1:14">
      <c r="A172" s="3" t="str">
        <f>"661506217286500"</f>
        <v>661506217286500</v>
      </c>
      <c r="B172" s="3" t="s">
        <v>345</v>
      </c>
      <c r="C172" s="3" t="s">
        <v>16</v>
      </c>
      <c r="D172" s="3" t="str">
        <f t="shared" si="122"/>
        <v>0</v>
      </c>
      <c r="E172" s="3" t="s">
        <v>17</v>
      </c>
      <c r="F172" s="3" t="s">
        <v>17</v>
      </c>
      <c r="G172" s="3" t="s">
        <v>25</v>
      </c>
      <c r="H172" s="3" t="str">
        <f t="shared" si="118"/>
        <v>0</v>
      </c>
      <c r="I172" s="3" t="str">
        <f t="shared" si="119"/>
        <v>0</v>
      </c>
      <c r="J172" s="3" t="str">
        <f>"12"</f>
        <v>12</v>
      </c>
      <c r="K172" s="3" t="str">
        <f>"6946.94"</f>
        <v>6946.94</v>
      </c>
      <c r="L172" s="3" t="str">
        <f>"4168.16"</f>
        <v>4168.16</v>
      </c>
      <c r="M172" s="3" t="str">
        <f t="shared" si="117"/>
        <v>20240516</v>
      </c>
      <c r="N172" s="3" t="s">
        <v>346</v>
      </c>
    </row>
    <row r="173" spans="1:14">
      <c r="A173" s="3" t="str">
        <f>"661506217266500"</f>
        <v>661506217266500</v>
      </c>
      <c r="B173" s="3" t="s">
        <v>347</v>
      </c>
      <c r="C173" s="3" t="s">
        <v>16</v>
      </c>
      <c r="D173" s="3" t="str">
        <f t="shared" si="122"/>
        <v>0</v>
      </c>
      <c r="E173" s="3" t="s">
        <v>17</v>
      </c>
      <c r="F173" s="3" t="s">
        <v>17</v>
      </c>
      <c r="G173" s="3" t="s">
        <v>25</v>
      </c>
      <c r="H173" s="3" t="str">
        <f t="shared" si="118"/>
        <v>0</v>
      </c>
      <c r="I173" s="3" t="str">
        <f t="shared" si="119"/>
        <v>0</v>
      </c>
      <c r="J173" s="3" t="str">
        <f>"10"</f>
        <v>10</v>
      </c>
      <c r="K173" s="3" t="str">
        <f>"8246.8"</f>
        <v>8246.8</v>
      </c>
      <c r="L173" s="3" t="str">
        <f>"4948.08"</f>
        <v>4948.08</v>
      </c>
      <c r="M173" s="3" t="str">
        <f t="shared" si="117"/>
        <v>20240516</v>
      </c>
      <c r="N173" s="3" t="str">
        <f>"911506025554883619"</f>
        <v>911506025554883619</v>
      </c>
    </row>
    <row r="174" spans="1:14">
      <c r="A174" s="3" t="str">
        <f>"661506217260700"</f>
        <v>661506217260700</v>
      </c>
      <c r="B174" s="3" t="s">
        <v>348</v>
      </c>
      <c r="C174" s="3" t="s">
        <v>16</v>
      </c>
      <c r="D174" s="3" t="str">
        <f t="shared" si="122"/>
        <v>0</v>
      </c>
      <c r="E174" s="3" t="s">
        <v>17</v>
      </c>
      <c r="F174" s="3" t="s">
        <v>17</v>
      </c>
      <c r="G174" s="3" t="s">
        <v>16</v>
      </c>
      <c r="H174" s="3" t="str">
        <f t="shared" si="118"/>
        <v>0</v>
      </c>
      <c r="I174" s="3" t="str">
        <f t="shared" si="119"/>
        <v>0</v>
      </c>
      <c r="J174" s="3" t="str">
        <f>"1"</f>
        <v>1</v>
      </c>
      <c r="K174" s="3" t="str">
        <f>"537.84"</f>
        <v>537.84</v>
      </c>
      <c r="L174" s="3" t="str">
        <f>"161.35"</f>
        <v>161.35</v>
      </c>
      <c r="M174" s="3" t="str">
        <f t="shared" si="117"/>
        <v>20240516</v>
      </c>
      <c r="N174" s="3" t="s">
        <v>349</v>
      </c>
    </row>
    <row r="175" spans="1:14">
      <c r="A175" s="3" t="str">
        <f>"661506217254400"</f>
        <v>661506217254400</v>
      </c>
      <c r="B175" s="3" t="s">
        <v>350</v>
      </c>
      <c r="C175" s="3" t="s">
        <v>16</v>
      </c>
      <c r="D175" s="3" t="str">
        <f t="shared" si="122"/>
        <v>0</v>
      </c>
      <c r="E175" s="3" t="s">
        <v>17</v>
      </c>
      <c r="F175" s="3" t="s">
        <v>17</v>
      </c>
      <c r="G175" s="3" t="s">
        <v>16</v>
      </c>
      <c r="H175" s="3" t="str">
        <f t="shared" si="118"/>
        <v>0</v>
      </c>
      <c r="I175" s="3" t="str">
        <f t="shared" si="119"/>
        <v>0</v>
      </c>
      <c r="J175" s="3" t="str">
        <f>"2"</f>
        <v>2</v>
      </c>
      <c r="K175" s="3" t="str">
        <f>"1138"</f>
        <v>1138</v>
      </c>
      <c r="L175" s="3" t="str">
        <f>"341.4"</f>
        <v>341.4</v>
      </c>
      <c r="M175" s="3" t="str">
        <f t="shared" si="117"/>
        <v>20240516</v>
      </c>
      <c r="N175" s="3" t="s">
        <v>351</v>
      </c>
    </row>
    <row r="176" spans="1:14">
      <c r="A176" s="3" t="str">
        <f>"661506217250800"</f>
        <v>661506217250800</v>
      </c>
      <c r="B176" s="3" t="s">
        <v>352</v>
      </c>
      <c r="C176" s="3"/>
      <c r="D176" s="3" t="str">
        <f t="shared" si="122"/>
        <v>0</v>
      </c>
      <c r="E176" s="3" t="s">
        <v>17</v>
      </c>
      <c r="F176" s="3" t="s">
        <v>17</v>
      </c>
      <c r="G176" s="3" t="s">
        <v>18</v>
      </c>
      <c r="H176" s="3" t="str">
        <f t="shared" si="118"/>
        <v>0</v>
      </c>
      <c r="I176" s="3" t="str">
        <f t="shared" si="119"/>
        <v>0</v>
      </c>
      <c r="J176" s="3" t="str">
        <f>"10"</f>
        <v>10</v>
      </c>
      <c r="K176" s="3" t="str">
        <f>"5736.96"</f>
        <v>5736.96</v>
      </c>
      <c r="L176" s="3" t="str">
        <f>"3442.18"</f>
        <v>3442.18</v>
      </c>
      <c r="M176" s="3" t="str">
        <f t="shared" si="117"/>
        <v>20240516</v>
      </c>
      <c r="N176" s="3" t="str">
        <f>"911506210616257928"</f>
        <v>911506210616257928</v>
      </c>
    </row>
    <row r="177" spans="1:14">
      <c r="A177" s="3" t="str">
        <f>"661506217250400"</f>
        <v>661506217250400</v>
      </c>
      <c r="B177" s="3" t="s">
        <v>353</v>
      </c>
      <c r="C177" s="3" t="s">
        <v>16</v>
      </c>
      <c r="D177" s="3" t="str">
        <f t="shared" si="122"/>
        <v>0</v>
      </c>
      <c r="E177" s="3" t="s">
        <v>17</v>
      </c>
      <c r="F177" s="3" t="s">
        <v>17</v>
      </c>
      <c r="G177" s="3" t="s">
        <v>18</v>
      </c>
      <c r="H177" s="3" t="str">
        <f t="shared" si="118"/>
        <v>0</v>
      </c>
      <c r="I177" s="3" t="str">
        <f t="shared" si="119"/>
        <v>0</v>
      </c>
      <c r="J177" s="3" t="str">
        <f>"11"</f>
        <v>11</v>
      </c>
      <c r="K177" s="3" t="str">
        <f>"6399.12"</f>
        <v>6399.12</v>
      </c>
      <c r="L177" s="3" t="str">
        <f>"3839.47"</f>
        <v>3839.47</v>
      </c>
      <c r="M177" s="3" t="str">
        <f t="shared" si="117"/>
        <v>20240516</v>
      </c>
      <c r="N177" s="3" t="str">
        <f>"911506215817738799"</f>
        <v>911506215817738799</v>
      </c>
    </row>
    <row r="178" spans="1:14">
      <c r="A178" s="3" t="str">
        <f>"661506217248800"</f>
        <v>661506217248800</v>
      </c>
      <c r="B178" s="3" t="s">
        <v>354</v>
      </c>
      <c r="C178" s="3" t="s">
        <v>16</v>
      </c>
      <c r="D178" s="3" t="str">
        <f t="shared" si="122"/>
        <v>0</v>
      </c>
      <c r="E178" s="3" t="s">
        <v>17</v>
      </c>
      <c r="F178" s="3" t="s">
        <v>17</v>
      </c>
      <c r="G178" s="3" t="s">
        <v>25</v>
      </c>
      <c r="H178" s="3" t="str">
        <f t="shared" si="118"/>
        <v>0</v>
      </c>
      <c r="I178" s="3" t="str">
        <f t="shared" si="119"/>
        <v>0</v>
      </c>
      <c r="J178" s="3" t="str">
        <f>"35"</f>
        <v>35</v>
      </c>
      <c r="K178" s="3" t="str">
        <f>"29749.62"</f>
        <v>29749.62</v>
      </c>
      <c r="L178" s="3" t="str">
        <f>"17849.77"</f>
        <v>17849.77</v>
      </c>
      <c r="M178" s="3" t="str">
        <f t="shared" si="117"/>
        <v>20240516</v>
      </c>
      <c r="N178" s="3" t="s">
        <v>355</v>
      </c>
    </row>
    <row r="179" spans="1:14">
      <c r="A179" s="3" t="str">
        <f>"661506217246400"</f>
        <v>661506217246400</v>
      </c>
      <c r="B179" s="3" t="s">
        <v>356</v>
      </c>
      <c r="C179" s="3" t="s">
        <v>16</v>
      </c>
      <c r="D179" s="3" t="str">
        <f t="shared" si="122"/>
        <v>0</v>
      </c>
      <c r="E179" s="3" t="s">
        <v>17</v>
      </c>
      <c r="F179" s="3" t="s">
        <v>17</v>
      </c>
      <c r="G179" s="3" t="s">
        <v>25</v>
      </c>
      <c r="H179" s="3" t="str">
        <f t="shared" si="118"/>
        <v>0</v>
      </c>
      <c r="I179" s="3" t="str">
        <f t="shared" si="119"/>
        <v>0</v>
      </c>
      <c r="J179" s="3" t="str">
        <f>"1"</f>
        <v>1</v>
      </c>
      <c r="K179" s="3" t="str">
        <f>"89.64"</f>
        <v>89.64</v>
      </c>
      <c r="L179" s="3" t="str">
        <f>"53.78"</f>
        <v>53.78</v>
      </c>
      <c r="M179" s="3" t="str">
        <f t="shared" si="117"/>
        <v>20240516</v>
      </c>
      <c r="N179" s="3" t="s">
        <v>357</v>
      </c>
    </row>
    <row r="180" spans="1:14">
      <c r="A180" s="3" t="str">
        <f>"661506217216400"</f>
        <v>661506217216400</v>
      </c>
      <c r="B180" s="3" t="s">
        <v>358</v>
      </c>
      <c r="C180" s="3"/>
      <c r="D180" s="3" t="str">
        <f t="shared" si="122"/>
        <v>0</v>
      </c>
      <c r="E180" s="3" t="s">
        <v>17</v>
      </c>
      <c r="F180" s="3" t="s">
        <v>17</v>
      </c>
      <c r="G180" s="3" t="s">
        <v>25</v>
      </c>
      <c r="H180" s="3" t="str">
        <f t="shared" si="118"/>
        <v>0</v>
      </c>
      <c r="I180" s="3" t="str">
        <f t="shared" si="119"/>
        <v>0</v>
      </c>
      <c r="J180" s="3" t="str">
        <f>"4"</f>
        <v>4</v>
      </c>
      <c r="K180" s="3" t="str">
        <f>"2935.68"</f>
        <v>2935.68</v>
      </c>
      <c r="L180" s="3" t="str">
        <f>"1761.41"</f>
        <v>1761.41</v>
      </c>
      <c r="M180" s="3" t="str">
        <f t="shared" si="117"/>
        <v>20240516</v>
      </c>
      <c r="N180" s="3" t="s">
        <v>359</v>
      </c>
    </row>
    <row r="181" spans="1:14">
      <c r="A181" s="3" t="str">
        <f>"661506217180600"</f>
        <v>661506217180600</v>
      </c>
      <c r="B181" s="3" t="s">
        <v>360</v>
      </c>
      <c r="C181" s="3" t="s">
        <v>16</v>
      </c>
      <c r="D181" s="3" t="str">
        <f t="shared" si="122"/>
        <v>0</v>
      </c>
      <c r="E181" s="3" t="s">
        <v>17</v>
      </c>
      <c r="F181" s="3" t="s">
        <v>17</v>
      </c>
      <c r="G181" s="3" t="s">
        <v>25</v>
      </c>
      <c r="H181" s="3" t="str">
        <f t="shared" si="118"/>
        <v>0</v>
      </c>
      <c r="I181" s="3" t="str">
        <f t="shared" si="119"/>
        <v>0</v>
      </c>
      <c r="J181" s="3" t="str">
        <f>"3"</f>
        <v>3</v>
      </c>
      <c r="K181" s="3" t="str">
        <f>"1613.52"</f>
        <v>1613.52</v>
      </c>
      <c r="L181" s="3" t="str">
        <f>"968.11"</f>
        <v>968.11</v>
      </c>
      <c r="M181" s="3" t="str">
        <f t="shared" si="117"/>
        <v>20240516</v>
      </c>
      <c r="N181" s="3" t="s">
        <v>361</v>
      </c>
    </row>
    <row r="182" spans="1:14">
      <c r="A182" s="3" t="str">
        <f>"661506217154800"</f>
        <v>661506217154800</v>
      </c>
      <c r="B182" s="3" t="s">
        <v>362</v>
      </c>
      <c r="C182" s="3" t="s">
        <v>16</v>
      </c>
      <c r="D182" s="3" t="str">
        <f t="shared" si="122"/>
        <v>0</v>
      </c>
      <c r="E182" s="3" t="s">
        <v>17</v>
      </c>
      <c r="F182" s="3" t="s">
        <v>17</v>
      </c>
      <c r="G182" s="3" t="s">
        <v>25</v>
      </c>
      <c r="H182" s="3" t="str">
        <f t="shared" si="118"/>
        <v>0</v>
      </c>
      <c r="I182" s="3" t="str">
        <f t="shared" si="119"/>
        <v>0</v>
      </c>
      <c r="J182" s="3" t="str">
        <f>"5"</f>
        <v>5</v>
      </c>
      <c r="K182" s="3" t="str">
        <f>"2689.2"</f>
        <v>2689.2</v>
      </c>
      <c r="L182" s="3" t="str">
        <f>"1613.52"</f>
        <v>1613.52</v>
      </c>
      <c r="M182" s="3" t="str">
        <f t="shared" si="117"/>
        <v>20240516</v>
      </c>
      <c r="N182" s="3" t="s">
        <v>363</v>
      </c>
    </row>
    <row r="183" spans="1:14">
      <c r="A183" s="3" t="str">
        <f>"661506217074400"</f>
        <v>661506217074400</v>
      </c>
      <c r="B183" s="3" t="s">
        <v>364</v>
      </c>
      <c r="C183" s="3" t="s">
        <v>16</v>
      </c>
      <c r="D183" s="3" t="str">
        <f t="shared" si="122"/>
        <v>0</v>
      </c>
      <c r="E183" s="3" t="s">
        <v>17</v>
      </c>
      <c r="F183" s="3" t="s">
        <v>17</v>
      </c>
      <c r="G183" s="3" t="s">
        <v>25</v>
      </c>
      <c r="H183" s="3" t="str">
        <f t="shared" si="118"/>
        <v>0</v>
      </c>
      <c r="I183" s="3" t="str">
        <f t="shared" si="119"/>
        <v>0</v>
      </c>
      <c r="J183" s="3" t="str">
        <f t="shared" ref="J183:J187" si="123">"1"</f>
        <v>1</v>
      </c>
      <c r="K183" s="3" t="str">
        <f>"537.84"</f>
        <v>537.84</v>
      </c>
      <c r="L183" s="3" t="str">
        <f>"322.7"</f>
        <v>322.7</v>
      </c>
      <c r="M183" s="3" t="str">
        <f t="shared" si="117"/>
        <v>20240516</v>
      </c>
      <c r="N183" s="3" t="s">
        <v>365</v>
      </c>
    </row>
    <row r="184" spans="1:14">
      <c r="A184" s="3" t="str">
        <f>"661506217058700"</f>
        <v>661506217058700</v>
      </c>
      <c r="B184" s="3" t="s">
        <v>366</v>
      </c>
      <c r="C184" s="3" t="s">
        <v>16</v>
      </c>
      <c r="D184" s="3" t="str">
        <f t="shared" si="122"/>
        <v>0</v>
      </c>
      <c r="E184" s="3" t="s">
        <v>17</v>
      </c>
      <c r="F184" s="3" t="s">
        <v>17</v>
      </c>
      <c r="G184" s="3" t="s">
        <v>25</v>
      </c>
      <c r="H184" s="3" t="str">
        <f t="shared" si="118"/>
        <v>0</v>
      </c>
      <c r="I184" s="3" t="str">
        <f t="shared" si="119"/>
        <v>0</v>
      </c>
      <c r="J184" s="3" t="str">
        <f>"23"</f>
        <v>23</v>
      </c>
      <c r="K184" s="3" t="str">
        <f>"11608.38"</f>
        <v>11608.38</v>
      </c>
      <c r="L184" s="3" t="str">
        <f>"6965.03"</f>
        <v>6965.03</v>
      </c>
      <c r="M184" s="3" t="str">
        <f t="shared" si="117"/>
        <v>20240516</v>
      </c>
      <c r="N184" s="3" t="s">
        <v>367</v>
      </c>
    </row>
    <row r="185" spans="1:14">
      <c r="A185" s="3" t="str">
        <f>"661506217044500"</f>
        <v>661506217044500</v>
      </c>
      <c r="B185" s="3" t="s">
        <v>368</v>
      </c>
      <c r="C185" s="3" t="s">
        <v>16</v>
      </c>
      <c r="D185" s="3">
        <v>0.01</v>
      </c>
      <c r="E185" s="3" t="s">
        <v>17</v>
      </c>
      <c r="F185" s="3" t="s">
        <v>17</v>
      </c>
      <c r="G185" s="3" t="s">
        <v>18</v>
      </c>
      <c r="H185" s="3" t="str">
        <f t="shared" si="118"/>
        <v>0</v>
      </c>
      <c r="I185" s="3" t="str">
        <f t="shared" si="119"/>
        <v>0</v>
      </c>
      <c r="J185" s="3" t="str">
        <f>"109"</f>
        <v>109</v>
      </c>
      <c r="K185" s="3" t="str">
        <f>"59117.58"</f>
        <v>59117.58</v>
      </c>
      <c r="L185" s="3" t="str">
        <f>"35470.55"</f>
        <v>35470.55</v>
      </c>
      <c r="M185" s="3" t="str">
        <f t="shared" si="117"/>
        <v>20240516</v>
      </c>
      <c r="N185" s="3" t="s">
        <v>369</v>
      </c>
    </row>
    <row r="186" spans="1:14">
      <c r="A186" s="3" t="str">
        <f>"661506217032400"</f>
        <v>661506217032400</v>
      </c>
      <c r="B186" s="3" t="s">
        <v>370</v>
      </c>
      <c r="C186" s="3" t="s">
        <v>16</v>
      </c>
      <c r="D186" s="3" t="str">
        <f t="shared" ref="D186:D199" si="124">"0"</f>
        <v>0</v>
      </c>
      <c r="E186" s="3" t="s">
        <v>17</v>
      </c>
      <c r="F186" s="3" t="s">
        <v>17</v>
      </c>
      <c r="G186" s="3" t="s">
        <v>25</v>
      </c>
      <c r="H186" s="3" t="str">
        <f t="shared" si="118"/>
        <v>0</v>
      </c>
      <c r="I186" s="3" t="str">
        <f t="shared" si="119"/>
        <v>0</v>
      </c>
      <c r="J186" s="3" t="str">
        <f t="shared" si="123"/>
        <v>1</v>
      </c>
      <c r="K186" s="3" t="str">
        <f>"537.84"</f>
        <v>537.84</v>
      </c>
      <c r="L186" s="3" t="str">
        <f>"322.7"</f>
        <v>322.7</v>
      </c>
      <c r="M186" s="3" t="str">
        <f t="shared" si="117"/>
        <v>20240516</v>
      </c>
      <c r="N186" s="3" t="s">
        <v>371</v>
      </c>
    </row>
    <row r="187" spans="1:14">
      <c r="A187" s="3" t="str">
        <f>"661506217022500"</f>
        <v>661506217022500</v>
      </c>
      <c r="B187" s="3" t="s">
        <v>372</v>
      </c>
      <c r="C187" s="3"/>
      <c r="D187" s="3" t="str">
        <f t="shared" si="124"/>
        <v>0</v>
      </c>
      <c r="E187" s="3" t="s">
        <v>17</v>
      </c>
      <c r="F187" s="3" t="s">
        <v>17</v>
      </c>
      <c r="G187" s="3" t="s">
        <v>25</v>
      </c>
      <c r="H187" s="3" t="str">
        <f t="shared" si="118"/>
        <v>0</v>
      </c>
      <c r="I187" s="3" t="str">
        <f t="shared" si="119"/>
        <v>0</v>
      </c>
      <c r="J187" s="3" t="str">
        <f t="shared" si="123"/>
        <v>1</v>
      </c>
      <c r="K187" s="3" t="str">
        <f>"358.56"</f>
        <v>358.56</v>
      </c>
      <c r="L187" s="3" t="str">
        <f>"215.14"</f>
        <v>215.14</v>
      </c>
      <c r="M187" s="3" t="str">
        <f t="shared" si="117"/>
        <v>20240516</v>
      </c>
      <c r="N187" s="3" t="s">
        <v>373</v>
      </c>
    </row>
    <row r="188" spans="1:14">
      <c r="A188" s="3" t="str">
        <f>"661506217006500"</f>
        <v>661506217006500</v>
      </c>
      <c r="B188" s="3" t="s">
        <v>374</v>
      </c>
      <c r="C188" s="3" t="s">
        <v>16</v>
      </c>
      <c r="D188" s="3" t="str">
        <f t="shared" si="124"/>
        <v>0</v>
      </c>
      <c r="E188" s="3" t="s">
        <v>17</v>
      </c>
      <c r="F188" s="3" t="s">
        <v>17</v>
      </c>
      <c r="G188" s="3" t="s">
        <v>25</v>
      </c>
      <c r="H188" s="3" t="str">
        <f t="shared" si="118"/>
        <v>0</v>
      </c>
      <c r="I188" s="3" t="str">
        <f t="shared" si="119"/>
        <v>0</v>
      </c>
      <c r="J188" s="3" t="str">
        <f>"16"</f>
        <v>16</v>
      </c>
      <c r="K188" s="3" t="str">
        <f>"11749.28"</f>
        <v>11749.28</v>
      </c>
      <c r="L188" s="3" t="str">
        <f>"7049.57"</f>
        <v>7049.57</v>
      </c>
      <c r="M188" s="3" t="str">
        <f t="shared" si="117"/>
        <v>20240516</v>
      </c>
      <c r="N188" s="3" t="s">
        <v>375</v>
      </c>
    </row>
    <row r="189" spans="1:14">
      <c r="A189" s="3" t="str">
        <f>"661506217006400"</f>
        <v>661506217006400</v>
      </c>
      <c r="B189" s="3" t="s">
        <v>376</v>
      </c>
      <c r="C189" s="3" t="s">
        <v>16</v>
      </c>
      <c r="D189" s="3" t="str">
        <f t="shared" si="124"/>
        <v>0</v>
      </c>
      <c r="E189" s="3" t="s">
        <v>17</v>
      </c>
      <c r="F189" s="3" t="s">
        <v>17</v>
      </c>
      <c r="G189" s="3" t="s">
        <v>25</v>
      </c>
      <c r="H189" s="3" t="str">
        <f t="shared" si="118"/>
        <v>0</v>
      </c>
      <c r="I189" s="3" t="str">
        <f t="shared" si="119"/>
        <v>0</v>
      </c>
      <c r="J189" s="3" t="str">
        <f>"1"</f>
        <v>1</v>
      </c>
      <c r="K189" s="3" t="str">
        <f>"537.84"</f>
        <v>537.84</v>
      </c>
      <c r="L189" s="3" t="str">
        <f>"322.7"</f>
        <v>322.7</v>
      </c>
      <c r="M189" s="3" t="str">
        <f t="shared" si="117"/>
        <v>20240516</v>
      </c>
      <c r="N189" s="3" t="s">
        <v>377</v>
      </c>
    </row>
    <row r="190" spans="1:14">
      <c r="A190" s="3" t="str">
        <f>"661506216912500"</f>
        <v>661506216912500</v>
      </c>
      <c r="B190" s="3" t="s">
        <v>378</v>
      </c>
      <c r="C190" s="3" t="s">
        <v>16</v>
      </c>
      <c r="D190" s="3" t="str">
        <f t="shared" si="124"/>
        <v>0</v>
      </c>
      <c r="E190" s="3" t="s">
        <v>17</v>
      </c>
      <c r="F190" s="3" t="s">
        <v>17</v>
      </c>
      <c r="G190" s="3" t="s">
        <v>25</v>
      </c>
      <c r="H190" s="3" t="str">
        <f t="shared" si="118"/>
        <v>0</v>
      </c>
      <c r="I190" s="3" t="str">
        <f t="shared" si="119"/>
        <v>0</v>
      </c>
      <c r="J190" s="3" t="str">
        <f t="shared" ref="J190:J195" si="125">"4"</f>
        <v>4</v>
      </c>
      <c r="K190" s="3" t="str">
        <f>"2554.74"</f>
        <v>2554.74</v>
      </c>
      <c r="L190" s="3" t="str">
        <f>"1532.84"</f>
        <v>1532.84</v>
      </c>
      <c r="M190" s="3" t="str">
        <f t="shared" si="117"/>
        <v>20240516</v>
      </c>
      <c r="N190" s="3" t="s">
        <v>379</v>
      </c>
    </row>
    <row r="191" spans="1:14">
      <c r="A191" s="3" t="str">
        <f>"661506216900500"</f>
        <v>661506216900500</v>
      </c>
      <c r="B191" s="3" t="s">
        <v>380</v>
      </c>
      <c r="C191" s="3" t="s">
        <v>16</v>
      </c>
      <c r="D191" s="3" t="str">
        <f t="shared" si="124"/>
        <v>0</v>
      </c>
      <c r="E191" s="3" t="s">
        <v>17</v>
      </c>
      <c r="F191" s="3" t="s">
        <v>17</v>
      </c>
      <c r="G191" s="3" t="s">
        <v>25</v>
      </c>
      <c r="H191" s="3" t="str">
        <f t="shared" si="118"/>
        <v>0</v>
      </c>
      <c r="I191" s="3" t="str">
        <f t="shared" si="119"/>
        <v>0</v>
      </c>
      <c r="J191" s="3" t="str">
        <f>"5"</f>
        <v>5</v>
      </c>
      <c r="K191" s="3" t="str">
        <f>"2689.2"</f>
        <v>2689.2</v>
      </c>
      <c r="L191" s="3" t="str">
        <f>"1613.52"</f>
        <v>1613.52</v>
      </c>
      <c r="M191" s="3" t="str">
        <f t="shared" si="117"/>
        <v>20240516</v>
      </c>
      <c r="N191" s="3" t="s">
        <v>381</v>
      </c>
    </row>
    <row r="192" spans="1:14">
      <c r="A192" s="3" t="str">
        <f>"661506216878500"</f>
        <v>661506216878500</v>
      </c>
      <c r="B192" s="3" t="s">
        <v>382</v>
      </c>
      <c r="C192" s="3" t="s">
        <v>16</v>
      </c>
      <c r="D192" s="3" t="str">
        <f t="shared" si="124"/>
        <v>0</v>
      </c>
      <c r="E192" s="3" t="s">
        <v>17</v>
      </c>
      <c r="F192" s="3" t="s">
        <v>17</v>
      </c>
      <c r="G192" s="3" t="s">
        <v>18</v>
      </c>
      <c r="H192" s="3" t="str">
        <f t="shared" si="118"/>
        <v>0</v>
      </c>
      <c r="I192" s="3" t="str">
        <f t="shared" si="119"/>
        <v>0</v>
      </c>
      <c r="J192" s="3" t="str">
        <f t="shared" si="125"/>
        <v>4</v>
      </c>
      <c r="K192" s="3" t="str">
        <f>"3320.66"</f>
        <v>3320.66</v>
      </c>
      <c r="L192" s="3" t="str">
        <f>"1992.4"</f>
        <v>1992.4</v>
      </c>
      <c r="M192" s="3" t="str">
        <f t="shared" si="117"/>
        <v>20240516</v>
      </c>
      <c r="N192" s="3" t="s">
        <v>383</v>
      </c>
    </row>
    <row r="193" spans="1:14">
      <c r="A193" s="3" t="str">
        <f>"661506216810400"</f>
        <v>661506216810400</v>
      </c>
      <c r="B193" s="3" t="s">
        <v>384</v>
      </c>
      <c r="C193" s="3" t="s">
        <v>16</v>
      </c>
      <c r="D193" s="3" t="str">
        <f t="shared" si="124"/>
        <v>0</v>
      </c>
      <c r="E193" s="3" t="s">
        <v>17</v>
      </c>
      <c r="F193" s="3" t="s">
        <v>17</v>
      </c>
      <c r="G193" s="3" t="s">
        <v>25</v>
      </c>
      <c r="H193" s="3" t="str">
        <f t="shared" si="118"/>
        <v>0</v>
      </c>
      <c r="I193" s="3" t="str">
        <f t="shared" si="119"/>
        <v>0</v>
      </c>
      <c r="J193" s="3" t="str">
        <f>"3"</f>
        <v>3</v>
      </c>
      <c r="K193" s="3" t="str">
        <f>"2772"</f>
        <v>2772</v>
      </c>
      <c r="L193" s="3" t="str">
        <f>"1663.2"</f>
        <v>1663.2</v>
      </c>
      <c r="M193" s="3" t="str">
        <f t="shared" si="117"/>
        <v>20240516</v>
      </c>
      <c r="N193" s="3" t="s">
        <v>385</v>
      </c>
    </row>
    <row r="194" spans="1:14">
      <c r="A194" s="3" t="str">
        <f>"661506216808400"</f>
        <v>661506216808400</v>
      </c>
      <c r="B194" s="3" t="s">
        <v>386</v>
      </c>
      <c r="C194" s="3" t="s">
        <v>16</v>
      </c>
      <c r="D194" s="3" t="str">
        <f t="shared" si="124"/>
        <v>0</v>
      </c>
      <c r="E194" s="3" t="s">
        <v>17</v>
      </c>
      <c r="F194" s="3" t="s">
        <v>17</v>
      </c>
      <c r="G194" s="3" t="s">
        <v>18</v>
      </c>
      <c r="H194" s="3" t="str">
        <f t="shared" si="118"/>
        <v>0</v>
      </c>
      <c r="I194" s="3" t="str">
        <f t="shared" si="119"/>
        <v>0</v>
      </c>
      <c r="J194" s="3" t="str">
        <f>"8"</f>
        <v>8</v>
      </c>
      <c r="K194" s="3" t="str">
        <f>"5734.28"</f>
        <v>5734.28</v>
      </c>
      <c r="L194" s="3" t="str">
        <f>"3440.57"</f>
        <v>3440.57</v>
      </c>
      <c r="M194" s="3" t="str">
        <f t="shared" si="117"/>
        <v>20240516</v>
      </c>
      <c r="N194" s="3" t="s">
        <v>387</v>
      </c>
    </row>
    <row r="195" spans="1:14">
      <c r="A195" s="3" t="str">
        <f>"661506216806500"</f>
        <v>661506216806500</v>
      </c>
      <c r="B195" s="3" t="s">
        <v>388</v>
      </c>
      <c r="C195" s="3" t="s">
        <v>16</v>
      </c>
      <c r="D195" s="3" t="str">
        <f t="shared" si="124"/>
        <v>0</v>
      </c>
      <c r="E195" s="3" t="s">
        <v>17</v>
      </c>
      <c r="F195" s="3" t="s">
        <v>17</v>
      </c>
      <c r="G195" s="3" t="s">
        <v>25</v>
      </c>
      <c r="H195" s="3"/>
      <c r="I195" s="3"/>
      <c r="J195" s="3" t="str">
        <f t="shared" si="125"/>
        <v>4</v>
      </c>
      <c r="K195" s="3" t="str">
        <f>"2330.64"</f>
        <v>2330.64</v>
      </c>
      <c r="L195" s="3" t="str">
        <f>"1398.38"</f>
        <v>1398.38</v>
      </c>
      <c r="M195" s="3" t="str">
        <f t="shared" ref="M195:M258" si="126">"20240516"</f>
        <v>20240516</v>
      </c>
      <c r="N195" s="3" t="s">
        <v>389</v>
      </c>
    </row>
    <row r="196" spans="1:14">
      <c r="A196" s="3" t="str">
        <f>"661506216774500"</f>
        <v>661506216774500</v>
      </c>
      <c r="B196" s="3" t="s">
        <v>390</v>
      </c>
      <c r="C196" s="3" t="s">
        <v>16</v>
      </c>
      <c r="D196" s="3" t="str">
        <f t="shared" si="124"/>
        <v>0</v>
      </c>
      <c r="E196" s="3" t="s">
        <v>17</v>
      </c>
      <c r="F196" s="3" t="s">
        <v>17</v>
      </c>
      <c r="G196" s="3" t="s">
        <v>25</v>
      </c>
      <c r="H196" s="3" t="str">
        <f t="shared" ref="H196:H227" si="127">"0"</f>
        <v>0</v>
      </c>
      <c r="I196" s="3" t="str">
        <f t="shared" ref="I196:I227" si="128">"0"</f>
        <v>0</v>
      </c>
      <c r="J196" s="3" t="str">
        <f>"12"</f>
        <v>12</v>
      </c>
      <c r="K196" s="3" t="str">
        <f>"7088.94"</f>
        <v>7088.94</v>
      </c>
      <c r="L196" s="3" t="str">
        <f>"4253.36"</f>
        <v>4253.36</v>
      </c>
      <c r="M196" s="3" t="str">
        <f t="shared" si="126"/>
        <v>20240516</v>
      </c>
      <c r="N196" s="3" t="s">
        <v>391</v>
      </c>
    </row>
    <row r="197" spans="1:14">
      <c r="A197" s="3" t="str">
        <f>"661506216767000"</f>
        <v>661506216767000</v>
      </c>
      <c r="B197" s="3" t="s">
        <v>392</v>
      </c>
      <c r="C197" s="3" t="s">
        <v>16</v>
      </c>
      <c r="D197" s="3" t="str">
        <f t="shared" si="124"/>
        <v>0</v>
      </c>
      <c r="E197" s="3" t="s">
        <v>17</v>
      </c>
      <c r="F197" s="3" t="s">
        <v>17</v>
      </c>
      <c r="G197" s="3" t="s">
        <v>25</v>
      </c>
      <c r="H197" s="3" t="str">
        <f t="shared" si="127"/>
        <v>0</v>
      </c>
      <c r="I197" s="3" t="str">
        <f t="shared" si="128"/>
        <v>0</v>
      </c>
      <c r="J197" s="3" t="str">
        <f t="shared" ref="J197:J201" si="129">"1"</f>
        <v>1</v>
      </c>
      <c r="K197" s="3" t="str">
        <f>"89.64"</f>
        <v>89.64</v>
      </c>
      <c r="L197" s="3" t="str">
        <f>"53.78"</f>
        <v>53.78</v>
      </c>
      <c r="M197" s="3" t="str">
        <f t="shared" si="126"/>
        <v>20240516</v>
      </c>
      <c r="N197" s="3" t="str">
        <f>"911506215817750497"</f>
        <v>911506215817750497</v>
      </c>
    </row>
    <row r="198" spans="1:14">
      <c r="A198" s="3" t="str">
        <f>"661506216762400"</f>
        <v>661506216762400</v>
      </c>
      <c r="B198" s="3" t="s">
        <v>393</v>
      </c>
      <c r="C198" s="3" t="s">
        <v>16</v>
      </c>
      <c r="D198" s="3" t="str">
        <f t="shared" si="124"/>
        <v>0</v>
      </c>
      <c r="E198" s="3" t="s">
        <v>17</v>
      </c>
      <c r="F198" s="3" t="s">
        <v>17</v>
      </c>
      <c r="G198" s="3" t="s">
        <v>25</v>
      </c>
      <c r="H198" s="3"/>
      <c r="I198" s="3"/>
      <c r="J198" s="3" t="str">
        <f t="shared" si="129"/>
        <v>1</v>
      </c>
      <c r="K198" s="3" t="str">
        <f>"709.5"</f>
        <v>709.5</v>
      </c>
      <c r="L198" s="3" t="str">
        <f>"425.7"</f>
        <v>425.7</v>
      </c>
      <c r="M198" s="3" t="str">
        <f t="shared" si="126"/>
        <v>20240516</v>
      </c>
      <c r="N198" s="3" t="s">
        <v>394</v>
      </c>
    </row>
    <row r="199" spans="1:14">
      <c r="A199" s="3" t="str">
        <f>"661506216758500"</f>
        <v>661506216758500</v>
      </c>
      <c r="B199" s="3" t="s">
        <v>395</v>
      </c>
      <c r="C199" s="3" t="s">
        <v>16</v>
      </c>
      <c r="D199" s="3" t="str">
        <f t="shared" si="124"/>
        <v>0</v>
      </c>
      <c r="E199" s="3" t="s">
        <v>17</v>
      </c>
      <c r="F199" s="3" t="s">
        <v>17</v>
      </c>
      <c r="G199" s="3" t="s">
        <v>25</v>
      </c>
      <c r="H199" s="3" t="str">
        <f t="shared" si="127"/>
        <v>0</v>
      </c>
      <c r="I199" s="3" t="str">
        <f t="shared" si="128"/>
        <v>0</v>
      </c>
      <c r="J199" s="3" t="str">
        <f>"12"</f>
        <v>12</v>
      </c>
      <c r="K199" s="3" t="str">
        <f>"6541.76"</f>
        <v>6541.76</v>
      </c>
      <c r="L199" s="3" t="str">
        <f>"3925.06"</f>
        <v>3925.06</v>
      </c>
      <c r="M199" s="3" t="str">
        <f t="shared" si="126"/>
        <v>20240516</v>
      </c>
      <c r="N199" s="3" t="str">
        <f>"911506217870617973"</f>
        <v>911506217870617973</v>
      </c>
    </row>
    <row r="200" spans="1:14">
      <c r="A200" s="3" t="str">
        <f>"661506216758400"</f>
        <v>661506216758400</v>
      </c>
      <c r="B200" s="3" t="s">
        <v>396</v>
      </c>
      <c r="C200" s="3" t="s">
        <v>16</v>
      </c>
      <c r="D200" s="3">
        <v>0.14</v>
      </c>
      <c r="E200" s="3" t="s">
        <v>17</v>
      </c>
      <c r="F200" s="3" t="s">
        <v>17</v>
      </c>
      <c r="G200" s="3" t="s">
        <v>18</v>
      </c>
      <c r="H200" s="3" t="str">
        <f t="shared" si="127"/>
        <v>0</v>
      </c>
      <c r="I200" s="3" t="str">
        <f t="shared" si="128"/>
        <v>0</v>
      </c>
      <c r="J200" s="3" t="str">
        <f>"7"</f>
        <v>7</v>
      </c>
      <c r="K200" s="3" t="str">
        <f>"4231.28"</f>
        <v>4231.28</v>
      </c>
      <c r="L200" s="3" t="str">
        <f>"2538.77"</f>
        <v>2538.77</v>
      </c>
      <c r="M200" s="3" t="str">
        <f t="shared" si="126"/>
        <v>20240516</v>
      </c>
      <c r="N200" s="3" t="str">
        <f>"911506215788540375"</f>
        <v>911506215788540375</v>
      </c>
    </row>
    <row r="201" spans="1:14">
      <c r="A201" s="3" t="str">
        <f>"661506216746900"</f>
        <v>661506216746900</v>
      </c>
      <c r="B201" s="3" t="s">
        <v>397</v>
      </c>
      <c r="C201" s="3" t="s">
        <v>16</v>
      </c>
      <c r="D201" s="3" t="str">
        <f t="shared" ref="D201:D222" si="130">"0"</f>
        <v>0</v>
      </c>
      <c r="E201" s="3" t="s">
        <v>17</v>
      </c>
      <c r="F201" s="3" t="s">
        <v>17</v>
      </c>
      <c r="G201" s="3" t="s">
        <v>25</v>
      </c>
      <c r="H201" s="3" t="str">
        <f t="shared" si="127"/>
        <v>0</v>
      </c>
      <c r="I201" s="3" t="str">
        <f t="shared" si="128"/>
        <v>0</v>
      </c>
      <c r="J201" s="3" t="str">
        <f t="shared" si="129"/>
        <v>1</v>
      </c>
      <c r="K201" s="3" t="str">
        <f>"537.84"</f>
        <v>537.84</v>
      </c>
      <c r="L201" s="3" t="str">
        <f>"322.7"</f>
        <v>322.7</v>
      </c>
      <c r="M201" s="3" t="str">
        <f t="shared" si="126"/>
        <v>20240516</v>
      </c>
      <c r="N201" s="3" t="s">
        <v>398</v>
      </c>
    </row>
    <row r="202" spans="1:14">
      <c r="A202" s="3" t="str">
        <f>"661506216720500"</f>
        <v>661506216720500</v>
      </c>
      <c r="B202" s="3" t="s">
        <v>399</v>
      </c>
      <c r="C202" s="3" t="s">
        <v>16</v>
      </c>
      <c r="D202" s="3" t="str">
        <f t="shared" si="130"/>
        <v>0</v>
      </c>
      <c r="E202" s="3" t="s">
        <v>17</v>
      </c>
      <c r="F202" s="3" t="s">
        <v>17</v>
      </c>
      <c r="G202" s="3" t="s">
        <v>25</v>
      </c>
      <c r="H202" s="3" t="str">
        <f t="shared" si="127"/>
        <v>0</v>
      </c>
      <c r="I202" s="3" t="str">
        <f t="shared" si="128"/>
        <v>0</v>
      </c>
      <c r="J202" s="3" t="str">
        <f t="shared" ref="J202:J204" si="131">"3"</f>
        <v>3</v>
      </c>
      <c r="K202" s="3" t="str">
        <f>"1613.52"</f>
        <v>1613.52</v>
      </c>
      <c r="L202" s="3" t="str">
        <f>"968.11"</f>
        <v>968.11</v>
      </c>
      <c r="M202" s="3" t="str">
        <f t="shared" si="126"/>
        <v>20240516</v>
      </c>
      <c r="N202" s="3" t="s">
        <v>400</v>
      </c>
    </row>
    <row r="203" spans="1:15">
      <c r="A203" s="3" t="str">
        <f>"661506216720400"</f>
        <v>661506216720400</v>
      </c>
      <c r="B203" s="3" t="s">
        <v>401</v>
      </c>
      <c r="C203" s="3"/>
      <c r="D203" s="3" t="str">
        <f t="shared" si="130"/>
        <v>0</v>
      </c>
      <c r="E203" s="3" t="s">
        <v>17</v>
      </c>
      <c r="F203" s="3" t="s">
        <v>17</v>
      </c>
      <c r="G203" s="3" t="s">
        <v>25</v>
      </c>
      <c r="H203" s="3" t="str">
        <f t="shared" si="127"/>
        <v>0</v>
      </c>
      <c r="I203" s="3" t="str">
        <f t="shared" si="128"/>
        <v>0</v>
      </c>
      <c r="J203" s="3" t="str">
        <f t="shared" si="131"/>
        <v>3</v>
      </c>
      <c r="K203" s="3" t="str">
        <f>"1613.52"</f>
        <v>1613.52</v>
      </c>
      <c r="L203" s="3" t="str">
        <f>"968.11"</f>
        <v>968.11</v>
      </c>
      <c r="M203" s="3" t="str">
        <f t="shared" si="126"/>
        <v>20240516</v>
      </c>
      <c r="N203" s="3" t="str">
        <f>"911506210949649854"</f>
        <v>911506210949649854</v>
      </c>
      <c r="O203" s="3"/>
    </row>
    <row r="204" spans="1:15">
      <c r="A204" s="3" t="str">
        <f>"661506216696600"</f>
        <v>661506216696600</v>
      </c>
      <c r="B204" s="3" t="s">
        <v>402</v>
      </c>
      <c r="C204" s="3" t="s">
        <v>16</v>
      </c>
      <c r="D204" s="3" t="str">
        <f t="shared" si="130"/>
        <v>0</v>
      </c>
      <c r="E204" s="3" t="s">
        <v>17</v>
      </c>
      <c r="F204" s="3" t="s">
        <v>17</v>
      </c>
      <c r="G204" s="3" t="s">
        <v>25</v>
      </c>
      <c r="H204" s="3" t="str">
        <f t="shared" si="127"/>
        <v>0</v>
      </c>
      <c r="I204" s="3" t="str">
        <f t="shared" si="128"/>
        <v>0</v>
      </c>
      <c r="J204" s="3" t="str">
        <f t="shared" si="131"/>
        <v>3</v>
      </c>
      <c r="K204" s="3" t="str">
        <f>"2106.54"</f>
        <v>2106.54</v>
      </c>
      <c r="L204" s="3" t="str">
        <f>"1263.92"</f>
        <v>1263.92</v>
      </c>
      <c r="M204" s="3" t="str">
        <f t="shared" si="126"/>
        <v>20240516</v>
      </c>
      <c r="N204" s="3" t="s">
        <v>403</v>
      </c>
      <c r="O204" s="3"/>
    </row>
    <row r="205" spans="1:15">
      <c r="A205" s="3" t="str">
        <f>"661506216696400"</f>
        <v>661506216696400</v>
      </c>
      <c r="B205" s="3" t="s">
        <v>404</v>
      </c>
      <c r="C205" s="3" t="s">
        <v>16</v>
      </c>
      <c r="D205" s="3" t="str">
        <f t="shared" si="130"/>
        <v>0</v>
      </c>
      <c r="E205" s="3" t="s">
        <v>17</v>
      </c>
      <c r="F205" s="3" t="s">
        <v>17</v>
      </c>
      <c r="G205" s="3" t="s">
        <v>25</v>
      </c>
      <c r="H205" s="3" t="str">
        <f t="shared" si="127"/>
        <v>0</v>
      </c>
      <c r="I205" s="3" t="str">
        <f t="shared" si="128"/>
        <v>0</v>
      </c>
      <c r="J205" s="3" t="str">
        <f>"2"</f>
        <v>2</v>
      </c>
      <c r="K205" s="3" t="str">
        <f>"1075.68"</f>
        <v>1075.68</v>
      </c>
      <c r="L205" s="3" t="str">
        <f>"645.41"</f>
        <v>645.41</v>
      </c>
      <c r="M205" s="3" t="str">
        <f t="shared" si="126"/>
        <v>20240516</v>
      </c>
      <c r="N205" s="3" t="s">
        <v>405</v>
      </c>
      <c r="O205" s="3"/>
    </row>
    <row r="206" spans="1:15">
      <c r="A206" s="3" t="str">
        <f>"661506216638400"</f>
        <v>661506216638400</v>
      </c>
      <c r="B206" s="3" t="s">
        <v>406</v>
      </c>
      <c r="C206" s="3"/>
      <c r="D206" s="3" t="str">
        <f t="shared" si="130"/>
        <v>0</v>
      </c>
      <c r="E206" s="3" t="s">
        <v>17</v>
      </c>
      <c r="F206" s="3" t="s">
        <v>17</v>
      </c>
      <c r="G206" s="3" t="s">
        <v>25</v>
      </c>
      <c r="H206" s="3" t="str">
        <f t="shared" si="127"/>
        <v>0</v>
      </c>
      <c r="I206" s="3" t="str">
        <f t="shared" si="128"/>
        <v>0</v>
      </c>
      <c r="J206" s="3" t="str">
        <f>"9"</f>
        <v>9</v>
      </c>
      <c r="K206" s="3" t="str">
        <f>"5019.84"</f>
        <v>5019.84</v>
      </c>
      <c r="L206" s="3" t="str">
        <f>"3011.9"</f>
        <v>3011.9</v>
      </c>
      <c r="M206" s="3" t="str">
        <f t="shared" si="126"/>
        <v>20240516</v>
      </c>
      <c r="N206" s="3" t="str">
        <f>"911506210725536240"</f>
        <v>911506210725536240</v>
      </c>
      <c r="O206" s="3"/>
    </row>
    <row r="207" spans="1:15">
      <c r="A207" s="3" t="str">
        <f>"661506216548700"</f>
        <v>661506216548700</v>
      </c>
      <c r="B207" s="3" t="s">
        <v>407</v>
      </c>
      <c r="C207" s="3"/>
      <c r="D207" s="3" t="str">
        <f t="shared" si="130"/>
        <v>0</v>
      </c>
      <c r="E207" s="3" t="s">
        <v>17</v>
      </c>
      <c r="F207" s="3" t="s">
        <v>17</v>
      </c>
      <c r="G207" s="3" t="s">
        <v>25</v>
      </c>
      <c r="H207" s="3" t="str">
        <f t="shared" si="127"/>
        <v>0</v>
      </c>
      <c r="I207" s="3" t="str">
        <f t="shared" si="128"/>
        <v>0</v>
      </c>
      <c r="J207" s="3" t="str">
        <f>"4"</f>
        <v>4</v>
      </c>
      <c r="K207" s="3" t="str">
        <f>"2644.38"</f>
        <v>2644.38</v>
      </c>
      <c r="L207" s="3" t="str">
        <f>"1586.63"</f>
        <v>1586.63</v>
      </c>
      <c r="M207" s="3" t="str">
        <f t="shared" si="126"/>
        <v>20240516</v>
      </c>
      <c r="N207" s="3" t="s">
        <v>408</v>
      </c>
      <c r="O207" s="3"/>
    </row>
    <row r="208" spans="1:15">
      <c r="A208" s="3" t="str">
        <f>"661506216422900"</f>
        <v>661506216422900</v>
      </c>
      <c r="B208" s="3" t="s">
        <v>409</v>
      </c>
      <c r="C208" s="3" t="s">
        <v>16</v>
      </c>
      <c r="D208" s="3" t="str">
        <f t="shared" si="130"/>
        <v>0</v>
      </c>
      <c r="E208" s="3" t="s">
        <v>17</v>
      </c>
      <c r="F208" s="3" t="s">
        <v>17</v>
      </c>
      <c r="G208" s="3" t="s">
        <v>18</v>
      </c>
      <c r="H208" s="3" t="str">
        <f t="shared" si="127"/>
        <v>0</v>
      </c>
      <c r="I208" s="3" t="str">
        <f t="shared" si="128"/>
        <v>0</v>
      </c>
      <c r="J208" s="3" t="str">
        <f>"19"</f>
        <v>19</v>
      </c>
      <c r="K208" s="3" t="str">
        <f>"10218.7"</f>
        <v>10218.7</v>
      </c>
      <c r="L208" s="3" t="str">
        <f>"6131.22"</f>
        <v>6131.22</v>
      </c>
      <c r="M208" s="3" t="str">
        <f t="shared" si="126"/>
        <v>20240516</v>
      </c>
      <c r="N208" s="3" t="s">
        <v>410</v>
      </c>
      <c r="O208" s="3"/>
    </row>
    <row r="209" spans="1:15">
      <c r="A209" s="3" t="str">
        <f>"661506216422600"</f>
        <v>661506216422600</v>
      </c>
      <c r="B209" s="3" t="s">
        <v>411</v>
      </c>
      <c r="C209" s="3" t="s">
        <v>16</v>
      </c>
      <c r="D209" s="3" t="str">
        <f t="shared" si="130"/>
        <v>0</v>
      </c>
      <c r="E209" s="3" t="s">
        <v>17</v>
      </c>
      <c r="F209" s="3" t="s">
        <v>17</v>
      </c>
      <c r="G209" s="3" t="s">
        <v>18</v>
      </c>
      <c r="H209" s="3" t="str">
        <f t="shared" si="127"/>
        <v>0</v>
      </c>
      <c r="I209" s="3" t="str">
        <f t="shared" si="128"/>
        <v>0</v>
      </c>
      <c r="J209" s="3" t="str">
        <f>"56"</f>
        <v>56</v>
      </c>
      <c r="K209" s="3" t="str">
        <f>"39735.54"</f>
        <v>39735.54</v>
      </c>
      <c r="L209" s="3" t="str">
        <f>"23841.32"</f>
        <v>23841.32</v>
      </c>
      <c r="M209" s="3" t="str">
        <f t="shared" si="126"/>
        <v>20240516</v>
      </c>
      <c r="N209" s="3" t="s">
        <v>412</v>
      </c>
      <c r="O209" s="3"/>
    </row>
    <row r="210" spans="1:15">
      <c r="A210" s="3" t="str">
        <f>"661506216408500"</f>
        <v>661506216408500</v>
      </c>
      <c r="B210" s="3" t="s">
        <v>413</v>
      </c>
      <c r="C210" s="3" t="s">
        <v>16</v>
      </c>
      <c r="D210" s="3" t="str">
        <f t="shared" si="130"/>
        <v>0</v>
      </c>
      <c r="E210" s="3" t="s">
        <v>17</v>
      </c>
      <c r="F210" s="3" t="s">
        <v>17</v>
      </c>
      <c r="G210" s="3" t="s">
        <v>25</v>
      </c>
      <c r="H210" s="3" t="str">
        <f t="shared" si="127"/>
        <v>0</v>
      </c>
      <c r="I210" s="3" t="str">
        <f t="shared" si="128"/>
        <v>0</v>
      </c>
      <c r="J210" s="3" t="str">
        <f>"10"</f>
        <v>10</v>
      </c>
      <c r="K210" s="3" t="str">
        <f>"6450.46"</f>
        <v>6450.46</v>
      </c>
      <c r="L210" s="3" t="str">
        <f>"3870.28"</f>
        <v>3870.28</v>
      </c>
      <c r="M210" s="3" t="str">
        <f t="shared" si="126"/>
        <v>20240516</v>
      </c>
      <c r="N210" s="3" t="s">
        <v>414</v>
      </c>
      <c r="O210" s="3"/>
    </row>
    <row r="211" spans="1:15">
      <c r="A211" s="3" t="str">
        <f>"661506216396600"</f>
        <v>661506216396600</v>
      </c>
      <c r="B211" s="3" t="s">
        <v>415</v>
      </c>
      <c r="C211" s="3" t="s">
        <v>16</v>
      </c>
      <c r="D211" s="3" t="str">
        <f t="shared" si="130"/>
        <v>0</v>
      </c>
      <c r="E211" s="3" t="s">
        <v>17</v>
      </c>
      <c r="F211" s="3" t="s">
        <v>17</v>
      </c>
      <c r="G211" s="3" t="s">
        <v>25</v>
      </c>
      <c r="H211" s="3" t="str">
        <f t="shared" si="127"/>
        <v>0</v>
      </c>
      <c r="I211" s="3" t="str">
        <f t="shared" si="128"/>
        <v>0</v>
      </c>
      <c r="J211" s="3" t="str">
        <f>"58"</f>
        <v>58</v>
      </c>
      <c r="K211" s="3" t="str">
        <f>"33788.3"</f>
        <v>33788.3</v>
      </c>
      <c r="L211" s="3" t="str">
        <f>"20272.98"</f>
        <v>20272.98</v>
      </c>
      <c r="M211" s="3" t="str">
        <f t="shared" si="126"/>
        <v>20240516</v>
      </c>
      <c r="N211" s="3" t="s">
        <v>416</v>
      </c>
      <c r="O211" s="3"/>
    </row>
    <row r="212" spans="1:15">
      <c r="A212" s="3" t="str">
        <f>"661506216396400"</f>
        <v>661506216396400</v>
      </c>
      <c r="B212" s="3" t="s">
        <v>417</v>
      </c>
      <c r="C212" s="3" t="s">
        <v>16</v>
      </c>
      <c r="D212" s="3" t="str">
        <f t="shared" si="130"/>
        <v>0</v>
      </c>
      <c r="E212" s="3" t="s">
        <v>17</v>
      </c>
      <c r="F212" s="3" t="s">
        <v>17</v>
      </c>
      <c r="G212" s="3" t="s">
        <v>18</v>
      </c>
      <c r="H212" s="3" t="str">
        <f t="shared" si="127"/>
        <v>0</v>
      </c>
      <c r="I212" s="3" t="str">
        <f t="shared" si="128"/>
        <v>0</v>
      </c>
      <c r="J212" s="3" t="str">
        <f>"7"</f>
        <v>7</v>
      </c>
      <c r="K212" s="3" t="str">
        <f>"5221.56"</f>
        <v>5221.56</v>
      </c>
      <c r="L212" s="3" t="str">
        <f>"3132.94"</f>
        <v>3132.94</v>
      </c>
      <c r="M212" s="3" t="str">
        <f t="shared" si="126"/>
        <v>20240516</v>
      </c>
      <c r="N212" s="3" t="str">
        <f>"911506210701114782"</f>
        <v>911506210701114782</v>
      </c>
      <c r="O212" s="3"/>
    </row>
    <row r="213" spans="1:15">
      <c r="A213" s="3" t="str">
        <f>"661506216388600"</f>
        <v>661506216388600</v>
      </c>
      <c r="B213" s="3" t="s">
        <v>418</v>
      </c>
      <c r="C213" s="3" t="s">
        <v>16</v>
      </c>
      <c r="D213" s="3" t="str">
        <f t="shared" si="130"/>
        <v>0</v>
      </c>
      <c r="E213" s="3" t="s">
        <v>17</v>
      </c>
      <c r="F213" s="3" t="s">
        <v>17</v>
      </c>
      <c r="G213" s="3" t="s">
        <v>25</v>
      </c>
      <c r="H213" s="3" t="str">
        <f t="shared" si="127"/>
        <v>0</v>
      </c>
      <c r="I213" s="3" t="str">
        <f t="shared" si="128"/>
        <v>0</v>
      </c>
      <c r="J213" s="3" t="str">
        <f>"8"</f>
        <v>8</v>
      </c>
      <c r="K213" s="3" t="str">
        <f>"5307.48"</f>
        <v>5307.48</v>
      </c>
      <c r="L213" s="3" t="str">
        <f>"3184.49"</f>
        <v>3184.49</v>
      </c>
      <c r="M213" s="3" t="str">
        <f t="shared" si="126"/>
        <v>20240516</v>
      </c>
      <c r="N213" s="3" t="s">
        <v>419</v>
      </c>
      <c r="O213" s="3"/>
    </row>
    <row r="214" spans="1:15">
      <c r="A214" s="3" t="str">
        <f>"661506216388400"</f>
        <v>661506216388400</v>
      </c>
      <c r="B214" s="3" t="s">
        <v>420</v>
      </c>
      <c r="C214" s="3" t="s">
        <v>16</v>
      </c>
      <c r="D214" s="3" t="str">
        <f t="shared" si="130"/>
        <v>0</v>
      </c>
      <c r="E214" s="3" t="s">
        <v>17</v>
      </c>
      <c r="F214" s="3" t="s">
        <v>17</v>
      </c>
      <c r="G214" s="3" t="s">
        <v>18</v>
      </c>
      <c r="H214" s="3" t="str">
        <f t="shared" si="127"/>
        <v>0</v>
      </c>
      <c r="I214" s="3" t="str">
        <f t="shared" si="128"/>
        <v>0</v>
      </c>
      <c r="J214" s="3" t="str">
        <f>"8"</f>
        <v>8</v>
      </c>
      <c r="K214" s="3" t="str">
        <f>"6380.52"</f>
        <v>6380.52</v>
      </c>
      <c r="L214" s="3" t="str">
        <f>"3828.31"</f>
        <v>3828.31</v>
      </c>
      <c r="M214" s="3" t="str">
        <f t="shared" si="126"/>
        <v>20240516</v>
      </c>
      <c r="N214" s="3" t="s">
        <v>421</v>
      </c>
      <c r="O214" s="3"/>
    </row>
    <row r="215" spans="1:15">
      <c r="A215" s="3" t="str">
        <f>"661506216348400"</f>
        <v>661506216348400</v>
      </c>
      <c r="B215" s="3" t="s">
        <v>422</v>
      </c>
      <c r="C215" s="3" t="s">
        <v>16</v>
      </c>
      <c r="D215" s="3" t="str">
        <f t="shared" si="130"/>
        <v>0</v>
      </c>
      <c r="E215" s="3" t="s">
        <v>17</v>
      </c>
      <c r="F215" s="3" t="s">
        <v>17</v>
      </c>
      <c r="G215" s="3" t="s">
        <v>25</v>
      </c>
      <c r="H215" s="3" t="str">
        <f t="shared" si="127"/>
        <v>0</v>
      </c>
      <c r="I215" s="3" t="str">
        <f t="shared" si="128"/>
        <v>0</v>
      </c>
      <c r="J215" s="3" t="str">
        <f>"12"</f>
        <v>12</v>
      </c>
      <c r="K215" s="3" t="str">
        <f>"7986.1"</f>
        <v>7986.1</v>
      </c>
      <c r="L215" s="3" t="str">
        <f>"4791.66"</f>
        <v>4791.66</v>
      </c>
      <c r="M215" s="3" t="str">
        <f t="shared" si="126"/>
        <v>20240516</v>
      </c>
      <c r="N215" s="3" t="s">
        <v>423</v>
      </c>
      <c r="O215" s="3"/>
    </row>
    <row r="216" spans="1:15">
      <c r="A216" s="3" t="str">
        <f>"661506216316500"</f>
        <v>661506216316500</v>
      </c>
      <c r="B216" s="3" t="s">
        <v>424</v>
      </c>
      <c r="C216" s="3" t="s">
        <v>16</v>
      </c>
      <c r="D216" s="3" t="str">
        <f t="shared" si="130"/>
        <v>0</v>
      </c>
      <c r="E216" s="3" t="s">
        <v>17</v>
      </c>
      <c r="F216" s="3" t="s">
        <v>17</v>
      </c>
      <c r="G216" s="3" t="s">
        <v>18</v>
      </c>
      <c r="H216" s="3" t="str">
        <f t="shared" si="127"/>
        <v>0</v>
      </c>
      <c r="I216" s="3" t="str">
        <f t="shared" si="128"/>
        <v>0</v>
      </c>
      <c r="J216" s="3" t="str">
        <f>"78"</f>
        <v>78</v>
      </c>
      <c r="K216" s="3" t="str">
        <f>"61222.18"</f>
        <v>61222.18</v>
      </c>
      <c r="L216" s="3" t="str">
        <f>"36733.31"</f>
        <v>36733.31</v>
      </c>
      <c r="M216" s="3" t="str">
        <f t="shared" si="126"/>
        <v>20240516</v>
      </c>
      <c r="N216" s="3" t="s">
        <v>425</v>
      </c>
      <c r="O216" s="3"/>
    </row>
    <row r="217" spans="1:15">
      <c r="A217" s="3" t="str">
        <f>"661506216310800"</f>
        <v>661506216310800</v>
      </c>
      <c r="B217" s="3" t="s">
        <v>426</v>
      </c>
      <c r="C217" s="3" t="s">
        <v>16</v>
      </c>
      <c r="D217" s="3" t="str">
        <f t="shared" si="130"/>
        <v>0</v>
      </c>
      <c r="E217" s="3" t="s">
        <v>17</v>
      </c>
      <c r="F217" s="3" t="s">
        <v>17</v>
      </c>
      <c r="G217" s="3" t="s">
        <v>25</v>
      </c>
      <c r="H217" s="3" t="str">
        <f t="shared" si="127"/>
        <v>0</v>
      </c>
      <c r="I217" s="3" t="str">
        <f t="shared" si="128"/>
        <v>0</v>
      </c>
      <c r="J217" s="3" t="str">
        <f>"2"</f>
        <v>2</v>
      </c>
      <c r="K217" s="3" t="str">
        <f>"1188"</f>
        <v>1188</v>
      </c>
      <c r="L217" s="3" t="str">
        <f>"712.8"</f>
        <v>712.8</v>
      </c>
      <c r="M217" s="3" t="str">
        <f t="shared" si="126"/>
        <v>20240516</v>
      </c>
      <c r="N217" s="3" t="s">
        <v>427</v>
      </c>
      <c r="O217" s="3"/>
    </row>
    <row r="218" spans="1:15">
      <c r="A218" s="3" t="str">
        <f>"661506216236400"</f>
        <v>661506216236400</v>
      </c>
      <c r="B218" s="3" t="s">
        <v>428</v>
      </c>
      <c r="C218" s="3" t="s">
        <v>16</v>
      </c>
      <c r="D218" s="3" t="str">
        <f t="shared" si="130"/>
        <v>0</v>
      </c>
      <c r="E218" s="3" t="s">
        <v>17</v>
      </c>
      <c r="F218" s="3" t="s">
        <v>17</v>
      </c>
      <c r="G218" s="3" t="s">
        <v>25</v>
      </c>
      <c r="H218" s="3" t="str">
        <f t="shared" si="127"/>
        <v>0</v>
      </c>
      <c r="I218" s="3" t="str">
        <f t="shared" si="128"/>
        <v>0</v>
      </c>
      <c r="J218" s="3" t="str">
        <f>"17"</f>
        <v>17</v>
      </c>
      <c r="K218" s="3" t="str">
        <f>"9232.92"</f>
        <v>9232.92</v>
      </c>
      <c r="L218" s="3" t="str">
        <f>"5539.75"</f>
        <v>5539.75</v>
      </c>
      <c r="M218" s="3" t="str">
        <f t="shared" si="126"/>
        <v>20240516</v>
      </c>
      <c r="N218" s="3" t="s">
        <v>429</v>
      </c>
      <c r="O218" s="3"/>
    </row>
    <row r="219" spans="1:15">
      <c r="A219" s="3" t="str">
        <f>"661506216206500"</f>
        <v>661506216206500</v>
      </c>
      <c r="B219" s="3" t="s">
        <v>430</v>
      </c>
      <c r="C219" s="3" t="s">
        <v>16</v>
      </c>
      <c r="D219" s="3" t="str">
        <f t="shared" si="130"/>
        <v>0</v>
      </c>
      <c r="E219" s="3" t="s">
        <v>17</v>
      </c>
      <c r="F219" s="3" t="s">
        <v>17</v>
      </c>
      <c r="G219" s="3" t="s">
        <v>18</v>
      </c>
      <c r="H219" s="3" t="str">
        <f t="shared" si="127"/>
        <v>0</v>
      </c>
      <c r="I219" s="3" t="str">
        <f t="shared" si="128"/>
        <v>0</v>
      </c>
      <c r="J219" s="3" t="str">
        <f>"5"</f>
        <v>5</v>
      </c>
      <c r="K219" s="3" t="str">
        <f>"2751.36"</f>
        <v>2751.36</v>
      </c>
      <c r="L219" s="3" t="str">
        <f>"1650.82"</f>
        <v>1650.82</v>
      </c>
      <c r="M219" s="3" t="str">
        <f t="shared" si="126"/>
        <v>20240516</v>
      </c>
      <c r="N219" s="3" t="str">
        <f>"911506210949699467"</f>
        <v>911506210949699467</v>
      </c>
      <c r="O219" s="3"/>
    </row>
    <row r="220" spans="1:15">
      <c r="A220" s="3" t="str">
        <f>"661506216192600"</f>
        <v>661506216192600</v>
      </c>
      <c r="B220" s="3" t="s">
        <v>431</v>
      </c>
      <c r="C220" s="3" t="s">
        <v>16</v>
      </c>
      <c r="D220" s="3" t="str">
        <f t="shared" si="130"/>
        <v>0</v>
      </c>
      <c r="E220" s="3" t="s">
        <v>17</v>
      </c>
      <c r="F220" s="3" t="s">
        <v>17</v>
      </c>
      <c r="G220" s="3" t="s">
        <v>25</v>
      </c>
      <c r="H220" s="3" t="str">
        <f t="shared" si="127"/>
        <v>0</v>
      </c>
      <c r="I220" s="3" t="str">
        <f t="shared" si="128"/>
        <v>0</v>
      </c>
      <c r="J220" s="3" t="str">
        <f>"5"</f>
        <v>5</v>
      </c>
      <c r="K220" s="3" t="str">
        <f>"2958.12"</f>
        <v>2958.12</v>
      </c>
      <c r="L220" s="3" t="str">
        <f>"1774.87"</f>
        <v>1774.87</v>
      </c>
      <c r="M220" s="3" t="str">
        <f t="shared" si="126"/>
        <v>20240516</v>
      </c>
      <c r="N220" s="3" t="s">
        <v>432</v>
      </c>
      <c r="O220" s="3"/>
    </row>
    <row r="221" spans="1:15">
      <c r="A221" s="3" t="str">
        <f>"661506216190500"</f>
        <v>661506216190500</v>
      </c>
      <c r="B221" s="3" t="s">
        <v>433</v>
      </c>
      <c r="C221" s="3" t="s">
        <v>16</v>
      </c>
      <c r="D221" s="3" t="str">
        <f t="shared" si="130"/>
        <v>0</v>
      </c>
      <c r="E221" s="3" t="s">
        <v>17</v>
      </c>
      <c r="F221" s="3" t="s">
        <v>17</v>
      </c>
      <c r="G221" s="3" t="s">
        <v>140</v>
      </c>
      <c r="H221" s="3" t="str">
        <f t="shared" si="127"/>
        <v>0</v>
      </c>
      <c r="I221" s="3" t="str">
        <f t="shared" si="128"/>
        <v>0</v>
      </c>
      <c r="J221" s="3" t="str">
        <f>"83"</f>
        <v>83</v>
      </c>
      <c r="K221" s="3" t="str">
        <f>"46728.36"</f>
        <v>46728.36</v>
      </c>
      <c r="L221" s="3" t="str">
        <f>"28037.02"</f>
        <v>28037.02</v>
      </c>
      <c r="M221" s="3" t="str">
        <f t="shared" si="126"/>
        <v>20240516</v>
      </c>
      <c r="N221" s="3" t="s">
        <v>434</v>
      </c>
      <c r="O221" s="3"/>
    </row>
    <row r="222" spans="1:15">
      <c r="A222" s="3" t="str">
        <f>"661506216140500"</f>
        <v>661506216140500</v>
      </c>
      <c r="B222" s="3" t="s">
        <v>435</v>
      </c>
      <c r="C222" s="3"/>
      <c r="D222" s="3" t="str">
        <f t="shared" si="130"/>
        <v>0</v>
      </c>
      <c r="E222" s="3" t="s">
        <v>17</v>
      </c>
      <c r="F222" s="3" t="s">
        <v>17</v>
      </c>
      <c r="G222" s="3" t="s">
        <v>25</v>
      </c>
      <c r="H222" s="3" t="str">
        <f t="shared" si="127"/>
        <v>0</v>
      </c>
      <c r="I222" s="3" t="str">
        <f t="shared" si="128"/>
        <v>0</v>
      </c>
      <c r="J222" s="3" t="str">
        <f>"12"</f>
        <v>12</v>
      </c>
      <c r="K222" s="3" t="str">
        <f>"9020"</f>
        <v>9020</v>
      </c>
      <c r="L222" s="3" t="str">
        <f>"5412"</f>
        <v>5412</v>
      </c>
      <c r="M222" s="3" t="str">
        <f t="shared" si="126"/>
        <v>20240516</v>
      </c>
      <c r="N222" s="3" t="s">
        <v>436</v>
      </c>
      <c r="O222" s="3"/>
    </row>
    <row r="223" spans="1:15">
      <c r="A223" s="3" t="str">
        <f>"661506216100400"</f>
        <v>661506216100400</v>
      </c>
      <c r="B223" s="3" t="s">
        <v>437</v>
      </c>
      <c r="C223" s="3" t="s">
        <v>16</v>
      </c>
      <c r="D223" s="3">
        <v>0.07</v>
      </c>
      <c r="E223" s="3" t="s">
        <v>17</v>
      </c>
      <c r="F223" s="3" t="s">
        <v>17</v>
      </c>
      <c r="G223" s="3" t="s">
        <v>25</v>
      </c>
      <c r="H223" s="3" t="str">
        <f t="shared" si="127"/>
        <v>0</v>
      </c>
      <c r="I223" s="3" t="str">
        <f t="shared" si="128"/>
        <v>0</v>
      </c>
      <c r="J223" s="3" t="str">
        <f>"14"</f>
        <v>14</v>
      </c>
      <c r="K223" s="3" t="str">
        <f>"8436.24"</f>
        <v>8436.24</v>
      </c>
      <c r="L223" s="3" t="str">
        <f>"5061.74"</f>
        <v>5061.74</v>
      </c>
      <c r="M223" s="3" t="str">
        <f t="shared" si="126"/>
        <v>20240516</v>
      </c>
      <c r="N223" s="3" t="str">
        <f>"911506215706314888"</f>
        <v>911506215706314888</v>
      </c>
      <c r="O223" s="3"/>
    </row>
    <row r="224" spans="1:15">
      <c r="A224" s="3" t="str">
        <f>"661506216060400"</f>
        <v>661506216060400</v>
      </c>
      <c r="B224" s="3" t="s">
        <v>438</v>
      </c>
      <c r="C224" s="3" t="s">
        <v>16</v>
      </c>
      <c r="D224" s="3" t="str">
        <f t="shared" ref="D224:D226" si="132">"0"</f>
        <v>0</v>
      </c>
      <c r="E224" s="3" t="s">
        <v>17</v>
      </c>
      <c r="F224" s="3" t="s">
        <v>17</v>
      </c>
      <c r="G224" s="3" t="s">
        <v>25</v>
      </c>
      <c r="H224" s="3" t="str">
        <f t="shared" si="127"/>
        <v>0</v>
      </c>
      <c r="I224" s="3" t="str">
        <f t="shared" si="128"/>
        <v>0</v>
      </c>
      <c r="J224" s="3" t="str">
        <f>"3"</f>
        <v>3</v>
      </c>
      <c r="K224" s="3" t="str">
        <f>"1613.52"</f>
        <v>1613.52</v>
      </c>
      <c r="L224" s="3" t="str">
        <f>"968.11"</f>
        <v>968.11</v>
      </c>
      <c r="M224" s="3" t="str">
        <f t="shared" si="126"/>
        <v>20240516</v>
      </c>
      <c r="N224" s="3" t="s">
        <v>439</v>
      </c>
      <c r="O224" s="3"/>
    </row>
    <row r="225" spans="1:15">
      <c r="A225" s="3" t="str">
        <f>"661506215978400"</f>
        <v>661506215978400</v>
      </c>
      <c r="B225" s="3" t="s">
        <v>440</v>
      </c>
      <c r="C225" s="3" t="s">
        <v>16</v>
      </c>
      <c r="D225" s="3" t="str">
        <f t="shared" si="132"/>
        <v>0</v>
      </c>
      <c r="E225" s="3" t="s">
        <v>17</v>
      </c>
      <c r="F225" s="3" t="s">
        <v>17</v>
      </c>
      <c r="G225" s="3" t="s">
        <v>25</v>
      </c>
      <c r="H225" s="3" t="str">
        <f t="shared" si="127"/>
        <v>0</v>
      </c>
      <c r="I225" s="3" t="str">
        <f t="shared" si="128"/>
        <v>0</v>
      </c>
      <c r="J225" s="3" t="str">
        <f t="shared" ref="J225:J230" si="133">"1"</f>
        <v>1</v>
      </c>
      <c r="K225" s="3" t="str">
        <f>"627.32"</f>
        <v>627.32</v>
      </c>
      <c r="L225" s="3" t="str">
        <f>"376.39"</f>
        <v>376.39</v>
      </c>
      <c r="M225" s="3" t="str">
        <f t="shared" si="126"/>
        <v>20240516</v>
      </c>
      <c r="N225" s="3" t="s">
        <v>441</v>
      </c>
      <c r="O225" s="3"/>
    </row>
    <row r="226" spans="1:15">
      <c r="A226" s="3" t="str">
        <f>"661506215974800"</f>
        <v>661506215974800</v>
      </c>
      <c r="B226" s="3" t="s">
        <v>442</v>
      </c>
      <c r="C226" s="3" t="s">
        <v>16</v>
      </c>
      <c r="D226" s="3" t="str">
        <f t="shared" si="132"/>
        <v>0</v>
      </c>
      <c r="E226" s="3" t="s">
        <v>17</v>
      </c>
      <c r="F226" s="3" t="s">
        <v>17</v>
      </c>
      <c r="G226" s="3" t="s">
        <v>25</v>
      </c>
      <c r="H226" s="3" t="str">
        <f t="shared" si="127"/>
        <v>0</v>
      </c>
      <c r="I226" s="3" t="str">
        <f t="shared" si="128"/>
        <v>0</v>
      </c>
      <c r="J226" s="3" t="str">
        <f t="shared" si="133"/>
        <v>1</v>
      </c>
      <c r="K226" s="3" t="str">
        <f>"600"</f>
        <v>600</v>
      </c>
      <c r="L226" s="3" t="str">
        <f>"360"</f>
        <v>360</v>
      </c>
      <c r="M226" s="3" t="str">
        <f t="shared" si="126"/>
        <v>20240516</v>
      </c>
      <c r="N226" s="3" t="str">
        <f>"911506217830435590"</f>
        <v>911506217830435590</v>
      </c>
      <c r="O226" s="3"/>
    </row>
    <row r="227" spans="1:15">
      <c r="A227" s="3" t="str">
        <f>"661506215934100"</f>
        <v>661506215934100</v>
      </c>
      <c r="B227" s="3" t="s">
        <v>443</v>
      </c>
      <c r="C227" s="3" t="s">
        <v>16</v>
      </c>
      <c r="D227" s="3">
        <v>0.08</v>
      </c>
      <c r="E227" s="3" t="s">
        <v>17</v>
      </c>
      <c r="F227" s="3" t="s">
        <v>17</v>
      </c>
      <c r="G227" s="3" t="s">
        <v>140</v>
      </c>
      <c r="H227" s="3" t="str">
        <f t="shared" si="127"/>
        <v>0</v>
      </c>
      <c r="I227" s="3" t="str">
        <f t="shared" si="128"/>
        <v>0</v>
      </c>
      <c r="J227" s="3" t="str">
        <f>"12"</f>
        <v>12</v>
      </c>
      <c r="K227" s="3" t="str">
        <f>"7179.3"</f>
        <v>7179.3</v>
      </c>
      <c r="L227" s="3" t="str">
        <f>"4307.58"</f>
        <v>4307.58</v>
      </c>
      <c r="M227" s="3" t="str">
        <f t="shared" si="126"/>
        <v>20240516</v>
      </c>
      <c r="N227" s="3" t="s">
        <v>444</v>
      </c>
      <c r="O227" s="3"/>
    </row>
    <row r="228" spans="1:15">
      <c r="A228" s="3" t="str">
        <f>"661506215933200"</f>
        <v>661506215933200</v>
      </c>
      <c r="B228" s="3" t="s">
        <v>445</v>
      </c>
      <c r="C228" s="3" t="s">
        <v>16</v>
      </c>
      <c r="D228" s="3" t="str">
        <f>"0"</f>
        <v>0</v>
      </c>
      <c r="E228" s="3" t="s">
        <v>17</v>
      </c>
      <c r="F228" s="3" t="s">
        <v>17</v>
      </c>
      <c r="G228" s="3" t="s">
        <v>25</v>
      </c>
      <c r="H228" s="3"/>
      <c r="I228" s="3"/>
      <c r="J228" s="3" t="str">
        <f>"4"</f>
        <v>4</v>
      </c>
      <c r="K228" s="3" t="str">
        <f>"2300"</f>
        <v>2300</v>
      </c>
      <c r="L228" s="3" t="str">
        <f>"1380"</f>
        <v>1380</v>
      </c>
      <c r="M228" s="3" t="str">
        <f t="shared" si="126"/>
        <v>20240516</v>
      </c>
      <c r="N228" s="3" t="s">
        <v>446</v>
      </c>
      <c r="O228" s="3"/>
    </row>
    <row r="229" spans="1:15">
      <c r="A229" s="3" t="str">
        <f>"661506215933000"</f>
        <v>661506215933000</v>
      </c>
      <c r="B229" s="3" t="s">
        <v>447</v>
      </c>
      <c r="C229" s="3" t="s">
        <v>16</v>
      </c>
      <c r="D229" s="3" t="str">
        <f t="shared" ref="D229:I229" si="134">"0"</f>
        <v>0</v>
      </c>
      <c r="E229" s="3" t="s">
        <v>17</v>
      </c>
      <c r="F229" s="3" t="s">
        <v>17</v>
      </c>
      <c r="G229" s="3" t="s">
        <v>25</v>
      </c>
      <c r="H229" s="3" t="str">
        <f t="shared" si="134"/>
        <v>0</v>
      </c>
      <c r="I229" s="3" t="str">
        <f t="shared" si="134"/>
        <v>0</v>
      </c>
      <c r="J229" s="3" t="str">
        <f>"21"</f>
        <v>21</v>
      </c>
      <c r="K229" s="3" t="str">
        <f>"14106.68"</f>
        <v>14106.68</v>
      </c>
      <c r="L229" s="3" t="str">
        <f>"8464.01"</f>
        <v>8464.01</v>
      </c>
      <c r="M229" s="3" t="str">
        <f t="shared" si="126"/>
        <v>20240516</v>
      </c>
      <c r="N229" s="3" t="str">
        <f>"911506210578108990"</f>
        <v>911506210578108990</v>
      </c>
      <c r="O229" s="3"/>
    </row>
    <row r="230" spans="1:15">
      <c r="A230" s="3" t="str">
        <f>"661506215900400"</f>
        <v>661506215900400</v>
      </c>
      <c r="B230" s="3" t="s">
        <v>448</v>
      </c>
      <c r="C230" s="3" t="s">
        <v>16</v>
      </c>
      <c r="D230" s="3" t="str">
        <f t="shared" ref="D230:I230" si="135">"0"</f>
        <v>0</v>
      </c>
      <c r="E230" s="3" t="s">
        <v>17</v>
      </c>
      <c r="F230" s="3" t="s">
        <v>17</v>
      </c>
      <c r="G230" s="3" t="s">
        <v>25</v>
      </c>
      <c r="H230" s="3" t="str">
        <f t="shared" si="135"/>
        <v>0</v>
      </c>
      <c r="I230" s="3" t="str">
        <f t="shared" si="135"/>
        <v>0</v>
      </c>
      <c r="J230" s="3" t="str">
        <f t="shared" si="133"/>
        <v>1</v>
      </c>
      <c r="K230" s="3" t="str">
        <f>"537.84"</f>
        <v>537.84</v>
      </c>
      <c r="L230" s="3" t="str">
        <f>"322.7"</f>
        <v>322.7</v>
      </c>
      <c r="M230" s="3" t="str">
        <f t="shared" si="126"/>
        <v>20240516</v>
      </c>
      <c r="N230" s="3" t="s">
        <v>449</v>
      </c>
      <c r="O230" s="3"/>
    </row>
    <row r="231" spans="1:15">
      <c r="A231" s="3" t="str">
        <f>"661506215898400"</f>
        <v>661506215898400</v>
      </c>
      <c r="B231" s="3" t="s">
        <v>450</v>
      </c>
      <c r="C231" s="3" t="s">
        <v>16</v>
      </c>
      <c r="D231" s="3" t="str">
        <f t="shared" ref="D231:I231" si="136">"0"</f>
        <v>0</v>
      </c>
      <c r="E231" s="3" t="s">
        <v>17</v>
      </c>
      <c r="F231" s="3" t="s">
        <v>17</v>
      </c>
      <c r="G231" s="3" t="s">
        <v>25</v>
      </c>
      <c r="H231" s="3" t="str">
        <f t="shared" si="136"/>
        <v>0</v>
      </c>
      <c r="I231" s="3" t="str">
        <f t="shared" si="136"/>
        <v>0</v>
      </c>
      <c r="J231" s="3" t="str">
        <f>"20"</f>
        <v>20</v>
      </c>
      <c r="K231" s="3" t="str">
        <f>"10833.42"</f>
        <v>10833.42</v>
      </c>
      <c r="L231" s="3" t="str">
        <f>"6500.05"</f>
        <v>6500.05</v>
      </c>
      <c r="M231" s="3" t="str">
        <f t="shared" si="126"/>
        <v>20240516</v>
      </c>
      <c r="N231" s="3" t="s">
        <v>451</v>
      </c>
      <c r="O231" s="3"/>
    </row>
    <row r="232" spans="1:15">
      <c r="A232" s="3" t="str">
        <f>"661506215882600"</f>
        <v>661506215882600</v>
      </c>
      <c r="B232" s="3" t="s">
        <v>452</v>
      </c>
      <c r="C232" s="3" t="s">
        <v>16</v>
      </c>
      <c r="D232" s="3" t="str">
        <f t="shared" ref="D232:I232" si="137">"0"</f>
        <v>0</v>
      </c>
      <c r="E232" s="3" t="s">
        <v>17</v>
      </c>
      <c r="F232" s="3" t="s">
        <v>17</v>
      </c>
      <c r="G232" s="3" t="s">
        <v>25</v>
      </c>
      <c r="H232" s="3" t="str">
        <f t="shared" si="137"/>
        <v>0</v>
      </c>
      <c r="I232" s="3" t="str">
        <f t="shared" si="137"/>
        <v>0</v>
      </c>
      <c r="J232" s="3" t="str">
        <f>"3"</f>
        <v>3</v>
      </c>
      <c r="K232" s="3" t="str">
        <f>"1837.62"</f>
        <v>1837.62</v>
      </c>
      <c r="L232" s="3" t="str">
        <f>"1102.57"</f>
        <v>1102.57</v>
      </c>
      <c r="M232" s="3" t="str">
        <f t="shared" si="126"/>
        <v>20240516</v>
      </c>
      <c r="N232" s="3" t="s">
        <v>453</v>
      </c>
      <c r="O232" s="3"/>
    </row>
    <row r="233" spans="1:15">
      <c r="A233" s="3" t="str">
        <f>"661506215878600"</f>
        <v>661506215878600</v>
      </c>
      <c r="B233" s="3" t="s">
        <v>454</v>
      </c>
      <c r="C233" s="3" t="s">
        <v>16</v>
      </c>
      <c r="D233" s="3" t="str">
        <f t="shared" ref="D233:I233" si="138">"0"</f>
        <v>0</v>
      </c>
      <c r="E233" s="3" t="s">
        <v>17</v>
      </c>
      <c r="F233" s="3" t="s">
        <v>17</v>
      </c>
      <c r="G233" s="3" t="s">
        <v>16</v>
      </c>
      <c r="H233" s="3" t="str">
        <f t="shared" si="138"/>
        <v>0</v>
      </c>
      <c r="I233" s="3" t="str">
        <f t="shared" si="138"/>
        <v>0</v>
      </c>
      <c r="J233" s="3" t="str">
        <f>"32"</f>
        <v>32</v>
      </c>
      <c r="K233" s="3" t="str">
        <f>"17471.2"</f>
        <v>17471.2</v>
      </c>
      <c r="L233" s="3" t="str">
        <f>"5241.36"</f>
        <v>5241.36</v>
      </c>
      <c r="M233" s="3" t="str">
        <f t="shared" si="126"/>
        <v>20240516</v>
      </c>
      <c r="N233" s="3" t="s">
        <v>455</v>
      </c>
      <c r="O233" s="3"/>
    </row>
    <row r="234" spans="1:15">
      <c r="A234" s="3" t="str">
        <f>"661506215872400"</f>
        <v>661506215872400</v>
      </c>
      <c r="B234" s="3" t="s">
        <v>456</v>
      </c>
      <c r="C234" s="3" t="s">
        <v>16</v>
      </c>
      <c r="D234" s="3" t="str">
        <f t="shared" ref="D234:I234" si="139">"0"</f>
        <v>0</v>
      </c>
      <c r="E234" s="3" t="s">
        <v>17</v>
      </c>
      <c r="F234" s="3" t="s">
        <v>17</v>
      </c>
      <c r="G234" s="3" t="s">
        <v>25</v>
      </c>
      <c r="H234" s="3" t="str">
        <f t="shared" si="139"/>
        <v>0</v>
      </c>
      <c r="I234" s="3" t="str">
        <f t="shared" si="139"/>
        <v>0</v>
      </c>
      <c r="J234" s="3" t="str">
        <f>"20"</f>
        <v>20</v>
      </c>
      <c r="K234" s="3" t="str">
        <f>"10919.1"</f>
        <v>10919.1</v>
      </c>
      <c r="L234" s="3" t="str">
        <f>"6551.46"</f>
        <v>6551.46</v>
      </c>
      <c r="M234" s="3" t="str">
        <f t="shared" si="126"/>
        <v>20240516</v>
      </c>
      <c r="N234" s="3" t="s">
        <v>457</v>
      </c>
      <c r="O234" s="3"/>
    </row>
    <row r="235" spans="1:15">
      <c r="A235" s="3" t="str">
        <f>"661506215856600"</f>
        <v>661506215856600</v>
      </c>
      <c r="B235" s="3" t="s">
        <v>458</v>
      </c>
      <c r="C235" s="3" t="s">
        <v>16</v>
      </c>
      <c r="D235" s="3" t="str">
        <f t="shared" ref="D235:I235" si="140">"0"</f>
        <v>0</v>
      </c>
      <c r="E235" s="3" t="s">
        <v>17</v>
      </c>
      <c r="F235" s="3" t="s">
        <v>17</v>
      </c>
      <c r="G235" s="3" t="s">
        <v>25</v>
      </c>
      <c r="H235" s="3" t="str">
        <f t="shared" si="140"/>
        <v>0</v>
      </c>
      <c r="I235" s="3" t="str">
        <f t="shared" si="140"/>
        <v>0</v>
      </c>
      <c r="J235" s="3" t="str">
        <f>"6"</f>
        <v>6</v>
      </c>
      <c r="K235" s="3" t="str">
        <f>"4566.6"</f>
        <v>4566.6</v>
      </c>
      <c r="L235" s="3" t="str">
        <f>"2739.96"</f>
        <v>2739.96</v>
      </c>
      <c r="M235" s="3" t="str">
        <f t="shared" si="126"/>
        <v>20240516</v>
      </c>
      <c r="N235" s="3" t="str">
        <f>"911506210616344371"</f>
        <v>911506210616344371</v>
      </c>
      <c r="O235" s="3"/>
    </row>
    <row r="236" spans="1:15">
      <c r="A236" s="3" t="str">
        <f>"661506215856500"</f>
        <v>661506215856500</v>
      </c>
      <c r="B236" s="3" t="s">
        <v>459</v>
      </c>
      <c r="C236" s="3" t="s">
        <v>16</v>
      </c>
      <c r="D236" s="3" t="str">
        <f t="shared" ref="D236:I236" si="141">"0"</f>
        <v>0</v>
      </c>
      <c r="E236" s="3" t="s">
        <v>17</v>
      </c>
      <c r="F236" s="3" t="s">
        <v>17</v>
      </c>
      <c r="G236" s="3" t="s">
        <v>18</v>
      </c>
      <c r="H236" s="3" t="str">
        <f t="shared" si="141"/>
        <v>0</v>
      </c>
      <c r="I236" s="3" t="str">
        <f t="shared" si="141"/>
        <v>0</v>
      </c>
      <c r="J236" s="3" t="str">
        <f>"6"</f>
        <v>6</v>
      </c>
      <c r="K236" s="3" t="str">
        <f>"3585.6"</f>
        <v>3585.6</v>
      </c>
      <c r="L236" s="3" t="str">
        <f>"2151.36"</f>
        <v>2151.36</v>
      </c>
      <c r="M236" s="3" t="str">
        <f t="shared" si="126"/>
        <v>20240516</v>
      </c>
      <c r="N236" s="3" t="s">
        <v>460</v>
      </c>
      <c r="O236" s="3"/>
    </row>
    <row r="237" spans="1:15">
      <c r="A237" s="3" t="str">
        <f>"661506215852400"</f>
        <v>661506215852400</v>
      </c>
      <c r="B237" s="3" t="s">
        <v>461</v>
      </c>
      <c r="C237" s="3" t="s">
        <v>16</v>
      </c>
      <c r="D237" s="3">
        <v>0.09</v>
      </c>
      <c r="E237" s="3" t="s">
        <v>17</v>
      </c>
      <c r="F237" s="3" t="s">
        <v>17</v>
      </c>
      <c r="G237" s="3" t="s">
        <v>25</v>
      </c>
      <c r="H237" s="3" t="str">
        <f>"0"</f>
        <v>0</v>
      </c>
      <c r="I237" s="3" t="str">
        <f>"0"</f>
        <v>0</v>
      </c>
      <c r="J237" s="3" t="str">
        <f>"11"</f>
        <v>11</v>
      </c>
      <c r="K237" s="3" t="str">
        <f>"6519.12"</f>
        <v>6519.12</v>
      </c>
      <c r="L237" s="3" t="str">
        <f>"3911.47"</f>
        <v>3911.47</v>
      </c>
      <c r="M237" s="3" t="str">
        <f t="shared" si="126"/>
        <v>20240516</v>
      </c>
      <c r="N237" s="3" t="s">
        <v>462</v>
      </c>
      <c r="O237" s="3"/>
    </row>
    <row r="238" spans="1:15">
      <c r="A238" s="3" t="str">
        <f>"661506215810400"</f>
        <v>661506215810400</v>
      </c>
      <c r="B238" s="3" t="s">
        <v>463</v>
      </c>
      <c r="C238" s="3" t="s">
        <v>16</v>
      </c>
      <c r="D238" s="3" t="str">
        <f t="shared" ref="D238:I238" si="142">"0"</f>
        <v>0</v>
      </c>
      <c r="E238" s="3" t="s">
        <v>17</v>
      </c>
      <c r="F238" s="3" t="s">
        <v>17</v>
      </c>
      <c r="G238" s="3" t="s">
        <v>25</v>
      </c>
      <c r="H238" s="3" t="str">
        <f t="shared" si="142"/>
        <v>0</v>
      </c>
      <c r="I238" s="3" t="str">
        <f t="shared" si="142"/>
        <v>0</v>
      </c>
      <c r="J238" s="3" t="str">
        <f>"3"</f>
        <v>3</v>
      </c>
      <c r="K238" s="3" t="str">
        <f>"2760"</f>
        <v>2760</v>
      </c>
      <c r="L238" s="3" t="str">
        <f>"1656"</f>
        <v>1656</v>
      </c>
      <c r="M238" s="3" t="str">
        <f t="shared" si="126"/>
        <v>20240516</v>
      </c>
      <c r="N238" s="3" t="s">
        <v>464</v>
      </c>
      <c r="O238" s="3"/>
    </row>
    <row r="239" spans="1:15">
      <c r="A239" s="3" t="str">
        <f>"661506215788500"</f>
        <v>661506215788500</v>
      </c>
      <c r="B239" s="3" t="s">
        <v>465</v>
      </c>
      <c r="C239" s="3" t="s">
        <v>16</v>
      </c>
      <c r="D239" s="3" t="str">
        <f t="shared" ref="D239:I239" si="143">"0"</f>
        <v>0</v>
      </c>
      <c r="E239" s="3" t="s">
        <v>17</v>
      </c>
      <c r="F239" s="3" t="s">
        <v>17</v>
      </c>
      <c r="G239" s="3" t="s">
        <v>25</v>
      </c>
      <c r="H239" s="3" t="str">
        <f t="shared" si="143"/>
        <v>0</v>
      </c>
      <c r="I239" s="3" t="str">
        <f t="shared" si="143"/>
        <v>0</v>
      </c>
      <c r="J239" s="3" t="str">
        <f>"32"</f>
        <v>32</v>
      </c>
      <c r="K239" s="3" t="str">
        <f>"19820.76"</f>
        <v>19820.76</v>
      </c>
      <c r="L239" s="3" t="str">
        <f>"11892.46"</f>
        <v>11892.46</v>
      </c>
      <c r="M239" s="3" t="str">
        <f t="shared" si="126"/>
        <v>20240516</v>
      </c>
      <c r="N239" s="3" t="s">
        <v>466</v>
      </c>
      <c r="O239" s="3"/>
    </row>
    <row r="240" spans="1:15">
      <c r="A240" s="3" t="str">
        <f>"661506215746500"</f>
        <v>661506215746500</v>
      </c>
      <c r="B240" s="3" t="s">
        <v>467</v>
      </c>
      <c r="C240" s="3" t="s">
        <v>16</v>
      </c>
      <c r="D240" s="3" t="str">
        <f t="shared" ref="D240:I240" si="144">"0"</f>
        <v>0</v>
      </c>
      <c r="E240" s="3" t="s">
        <v>17</v>
      </c>
      <c r="F240" s="3" t="s">
        <v>17</v>
      </c>
      <c r="G240" s="3" t="s">
        <v>25</v>
      </c>
      <c r="H240" s="3" t="str">
        <f t="shared" si="144"/>
        <v>0</v>
      </c>
      <c r="I240" s="3" t="str">
        <f t="shared" si="144"/>
        <v>0</v>
      </c>
      <c r="J240" s="3" t="str">
        <f>"9"</f>
        <v>9</v>
      </c>
      <c r="K240" s="3" t="str">
        <f>"5142"</f>
        <v>5142</v>
      </c>
      <c r="L240" s="3" t="str">
        <f>"3085.2"</f>
        <v>3085.2</v>
      </c>
      <c r="M240" s="3" t="str">
        <f t="shared" si="126"/>
        <v>20240516</v>
      </c>
      <c r="N240" s="3" t="s">
        <v>468</v>
      </c>
      <c r="O240" s="3"/>
    </row>
    <row r="241" spans="1:15">
      <c r="A241" s="3" t="str">
        <f>"661506215718400"</f>
        <v>661506215718400</v>
      </c>
      <c r="B241" s="3" t="s">
        <v>469</v>
      </c>
      <c r="C241" s="3"/>
      <c r="D241" s="3" t="str">
        <f t="shared" ref="D241:I241" si="145">"0"</f>
        <v>0</v>
      </c>
      <c r="E241" s="3" t="s">
        <v>17</v>
      </c>
      <c r="F241" s="3" t="s">
        <v>17</v>
      </c>
      <c r="G241" s="3" t="s">
        <v>25</v>
      </c>
      <c r="H241" s="3" t="str">
        <f t="shared" si="145"/>
        <v>0</v>
      </c>
      <c r="I241" s="3" t="str">
        <f t="shared" si="145"/>
        <v>0</v>
      </c>
      <c r="J241" s="3" t="str">
        <f t="shared" ref="J241:J243" si="146">"1"</f>
        <v>1</v>
      </c>
      <c r="K241" s="3" t="str">
        <f>"986.04"</f>
        <v>986.04</v>
      </c>
      <c r="L241" s="3" t="str">
        <f>"591.62"</f>
        <v>591.62</v>
      </c>
      <c r="M241" s="3" t="str">
        <f t="shared" si="126"/>
        <v>20240516</v>
      </c>
      <c r="N241" s="3" t="s">
        <v>470</v>
      </c>
      <c r="O241" s="3"/>
    </row>
    <row r="242" spans="1:15">
      <c r="A242" s="3" t="str">
        <f>"661506215714500"</f>
        <v>661506215714500</v>
      </c>
      <c r="B242" s="3" t="s">
        <v>471</v>
      </c>
      <c r="C242" s="3" t="s">
        <v>16</v>
      </c>
      <c r="D242" s="3" t="str">
        <f t="shared" ref="D242:I242" si="147">"0"</f>
        <v>0</v>
      </c>
      <c r="E242" s="3" t="s">
        <v>17</v>
      </c>
      <c r="F242" s="3" t="s">
        <v>17</v>
      </c>
      <c r="G242" s="3" t="s">
        <v>25</v>
      </c>
      <c r="H242" s="3" t="str">
        <f t="shared" si="147"/>
        <v>0</v>
      </c>
      <c r="I242" s="3" t="str">
        <f t="shared" si="147"/>
        <v>0</v>
      </c>
      <c r="J242" s="3" t="str">
        <f t="shared" si="146"/>
        <v>1</v>
      </c>
      <c r="K242" s="3" t="str">
        <f>"537.84"</f>
        <v>537.84</v>
      </c>
      <c r="L242" s="3" t="str">
        <f>"322.7"</f>
        <v>322.7</v>
      </c>
      <c r="M242" s="3" t="str">
        <f t="shared" si="126"/>
        <v>20240516</v>
      </c>
      <c r="N242" s="3" t="s">
        <v>472</v>
      </c>
      <c r="O242" s="3"/>
    </row>
    <row r="243" spans="1:15">
      <c r="A243" s="3" t="str">
        <f>"661506215708400"</f>
        <v>661506215708400</v>
      </c>
      <c r="B243" s="3" t="s">
        <v>473</v>
      </c>
      <c r="C243" s="3" t="s">
        <v>16</v>
      </c>
      <c r="D243" s="3" t="str">
        <f t="shared" ref="D243:I243" si="148">"0"</f>
        <v>0</v>
      </c>
      <c r="E243" s="3" t="s">
        <v>17</v>
      </c>
      <c r="F243" s="3" t="s">
        <v>17</v>
      </c>
      <c r="G243" s="3" t="s">
        <v>25</v>
      </c>
      <c r="H243" s="3" t="str">
        <f t="shared" si="148"/>
        <v>0</v>
      </c>
      <c r="I243" s="3" t="str">
        <f t="shared" si="148"/>
        <v>0</v>
      </c>
      <c r="J243" s="3" t="str">
        <f t="shared" si="146"/>
        <v>1</v>
      </c>
      <c r="K243" s="3" t="str">
        <f>"537.84"</f>
        <v>537.84</v>
      </c>
      <c r="L243" s="3" t="str">
        <f>"322.7"</f>
        <v>322.7</v>
      </c>
      <c r="M243" s="3" t="str">
        <f t="shared" si="126"/>
        <v>20240516</v>
      </c>
      <c r="N243" s="3" t="s">
        <v>474</v>
      </c>
      <c r="O243" s="3"/>
    </row>
    <row r="244" spans="1:15">
      <c r="A244" s="3" t="str">
        <f>"661506215664900"</f>
        <v>661506215664900</v>
      </c>
      <c r="B244" s="3" t="s">
        <v>475</v>
      </c>
      <c r="C244" s="3" t="s">
        <v>16</v>
      </c>
      <c r="D244" s="3" t="str">
        <f>"0"</f>
        <v>0</v>
      </c>
      <c r="E244" s="3" t="s">
        <v>17</v>
      </c>
      <c r="F244" s="3" t="s">
        <v>17</v>
      </c>
      <c r="G244" s="3" t="s">
        <v>25</v>
      </c>
      <c r="H244" s="3" t="str">
        <f>"0"</f>
        <v>0</v>
      </c>
      <c r="I244" s="3"/>
      <c r="J244" s="3" t="str">
        <f>"4"</f>
        <v>4</v>
      </c>
      <c r="K244" s="3" t="str">
        <f>"2602.44"</f>
        <v>2602.44</v>
      </c>
      <c r="L244" s="3" t="str">
        <f>"1561.46"</f>
        <v>1561.46</v>
      </c>
      <c r="M244" s="3" t="str">
        <f t="shared" si="126"/>
        <v>20240516</v>
      </c>
      <c r="N244" s="3" t="s">
        <v>476</v>
      </c>
      <c r="O244" s="3"/>
    </row>
    <row r="245" spans="1:15">
      <c r="A245" s="3" t="str">
        <f>"661506215594400"</f>
        <v>661506215594400</v>
      </c>
      <c r="B245" s="3" t="s">
        <v>477</v>
      </c>
      <c r="C245" s="3" t="s">
        <v>16</v>
      </c>
      <c r="D245" s="3" t="str">
        <f t="shared" ref="D245:I245" si="149">"0"</f>
        <v>0</v>
      </c>
      <c r="E245" s="3" t="s">
        <v>17</v>
      </c>
      <c r="F245" s="3" t="s">
        <v>17</v>
      </c>
      <c r="G245" s="3" t="s">
        <v>25</v>
      </c>
      <c r="H245" s="3" t="str">
        <f t="shared" si="149"/>
        <v>0</v>
      </c>
      <c r="I245" s="3" t="str">
        <f t="shared" si="149"/>
        <v>0</v>
      </c>
      <c r="J245" s="3" t="str">
        <f>"2"</f>
        <v>2</v>
      </c>
      <c r="K245" s="3" t="str">
        <f>"1075.68"</f>
        <v>1075.68</v>
      </c>
      <c r="L245" s="3" t="str">
        <f>"645.41"</f>
        <v>645.41</v>
      </c>
      <c r="M245" s="3" t="str">
        <f t="shared" si="126"/>
        <v>20240516</v>
      </c>
      <c r="N245" s="3" t="str">
        <f>"911506217438588094"</f>
        <v>911506217438588094</v>
      </c>
      <c r="O245" s="3"/>
    </row>
    <row r="246" spans="1:15">
      <c r="A246" s="3" t="str">
        <f>"661506215564500"</f>
        <v>661506215564500</v>
      </c>
      <c r="B246" s="3" t="s">
        <v>478</v>
      </c>
      <c r="C246" s="3" t="s">
        <v>16</v>
      </c>
      <c r="D246" s="3" t="str">
        <f t="shared" ref="D246:I246" si="150">"0"</f>
        <v>0</v>
      </c>
      <c r="E246" s="3" t="s">
        <v>17</v>
      </c>
      <c r="F246" s="3" t="s">
        <v>17</v>
      </c>
      <c r="G246" s="3" t="s">
        <v>18</v>
      </c>
      <c r="H246" s="3" t="str">
        <f t="shared" si="150"/>
        <v>0</v>
      </c>
      <c r="I246" s="3" t="str">
        <f t="shared" si="150"/>
        <v>0</v>
      </c>
      <c r="J246" s="3" t="str">
        <f>"20"</f>
        <v>20</v>
      </c>
      <c r="K246" s="3" t="str">
        <f>"36036.84"</f>
        <v>36036.84</v>
      </c>
      <c r="L246" s="3" t="str">
        <f>"21622.1"</f>
        <v>21622.1</v>
      </c>
      <c r="M246" s="3" t="str">
        <f t="shared" si="126"/>
        <v>20240516</v>
      </c>
      <c r="N246" s="3" t="s">
        <v>479</v>
      </c>
      <c r="O246" s="3"/>
    </row>
    <row r="247" spans="1:15">
      <c r="A247" s="3" t="str">
        <f>"661506215512400"</f>
        <v>661506215512400</v>
      </c>
      <c r="B247" s="3" t="s">
        <v>480</v>
      </c>
      <c r="C247" s="3" t="s">
        <v>16</v>
      </c>
      <c r="D247" s="3" t="str">
        <f t="shared" ref="D247:I247" si="151">"0"</f>
        <v>0</v>
      </c>
      <c r="E247" s="3" t="s">
        <v>17</v>
      </c>
      <c r="F247" s="3" t="s">
        <v>17</v>
      </c>
      <c r="G247" s="3" t="s">
        <v>25</v>
      </c>
      <c r="H247" s="3" t="str">
        <f t="shared" si="151"/>
        <v>0</v>
      </c>
      <c r="I247" s="3" t="str">
        <f t="shared" si="151"/>
        <v>0</v>
      </c>
      <c r="J247" s="3" t="str">
        <f>"16"</f>
        <v>16</v>
      </c>
      <c r="K247" s="3" t="str">
        <f>"8919.18"</f>
        <v>8919.18</v>
      </c>
      <c r="L247" s="3" t="str">
        <f>"5351.51"</f>
        <v>5351.51</v>
      </c>
      <c r="M247" s="3" t="str">
        <f t="shared" si="126"/>
        <v>20240516</v>
      </c>
      <c r="N247" s="3" t="s">
        <v>481</v>
      </c>
      <c r="O247" s="3"/>
    </row>
    <row r="248" spans="1:15">
      <c r="A248" s="3" t="str">
        <f>"661506215484500"</f>
        <v>661506215484500</v>
      </c>
      <c r="B248" s="3" t="s">
        <v>482</v>
      </c>
      <c r="C248" s="3" t="s">
        <v>16</v>
      </c>
      <c r="D248" s="3" t="str">
        <f t="shared" ref="D248:I248" si="152">"0"</f>
        <v>0</v>
      </c>
      <c r="E248" s="3" t="s">
        <v>17</v>
      </c>
      <c r="F248" s="3" t="s">
        <v>17</v>
      </c>
      <c r="G248" s="3" t="s">
        <v>25</v>
      </c>
      <c r="H248" s="3" t="str">
        <f t="shared" si="152"/>
        <v>0</v>
      </c>
      <c r="I248" s="3" t="str">
        <f t="shared" si="152"/>
        <v>0</v>
      </c>
      <c r="J248" s="3" t="str">
        <f>"1"</f>
        <v>1</v>
      </c>
      <c r="K248" s="3" t="str">
        <f>"660"</f>
        <v>660</v>
      </c>
      <c r="L248" s="3" t="str">
        <f>"396"</f>
        <v>396</v>
      </c>
      <c r="M248" s="3" t="str">
        <f t="shared" si="126"/>
        <v>20240516</v>
      </c>
      <c r="N248" s="3" t="s">
        <v>483</v>
      </c>
      <c r="O248" s="3"/>
    </row>
    <row r="249" spans="1:15">
      <c r="A249" s="3" t="str">
        <f>"661506215380400"</f>
        <v>661506215380400</v>
      </c>
      <c r="B249" s="3" t="s">
        <v>484</v>
      </c>
      <c r="C249" s="3" t="s">
        <v>16</v>
      </c>
      <c r="D249" s="3" t="str">
        <f t="shared" ref="D249:I249" si="153">"0"</f>
        <v>0</v>
      </c>
      <c r="E249" s="3" t="s">
        <v>17</v>
      </c>
      <c r="F249" s="3" t="s">
        <v>17</v>
      </c>
      <c r="G249" s="3" t="s">
        <v>25</v>
      </c>
      <c r="H249" s="3" t="str">
        <f t="shared" si="153"/>
        <v>0</v>
      </c>
      <c r="I249" s="3" t="str">
        <f t="shared" si="153"/>
        <v>0</v>
      </c>
      <c r="J249" s="3" t="str">
        <f>"4"</f>
        <v>4</v>
      </c>
      <c r="K249" s="3" t="str">
        <f>"2151.36"</f>
        <v>2151.36</v>
      </c>
      <c r="L249" s="3" t="str">
        <f>"1290.82"</f>
        <v>1290.82</v>
      </c>
      <c r="M249" s="3" t="str">
        <f t="shared" si="126"/>
        <v>20240516</v>
      </c>
      <c r="N249" s="3" t="s">
        <v>485</v>
      </c>
      <c r="O249" s="3"/>
    </row>
    <row r="250" spans="1:15">
      <c r="A250" s="3" t="str">
        <f>"661506215276500"</f>
        <v>661506215276500</v>
      </c>
      <c r="B250" s="3" t="s">
        <v>486</v>
      </c>
      <c r="C250" s="3" t="s">
        <v>16</v>
      </c>
      <c r="D250" s="3" t="str">
        <f t="shared" ref="D250:I250" si="154">"0"</f>
        <v>0</v>
      </c>
      <c r="E250" s="3" t="s">
        <v>17</v>
      </c>
      <c r="F250" s="3" t="s">
        <v>17</v>
      </c>
      <c r="G250" s="3" t="s">
        <v>25</v>
      </c>
      <c r="H250" s="3" t="str">
        <f t="shared" si="154"/>
        <v>0</v>
      </c>
      <c r="I250" s="3" t="str">
        <f t="shared" si="154"/>
        <v>0</v>
      </c>
      <c r="J250" s="3" t="str">
        <f>"5"</f>
        <v>5</v>
      </c>
      <c r="K250" s="3" t="str">
        <f>"4302.84"</f>
        <v>4302.84</v>
      </c>
      <c r="L250" s="3" t="str">
        <f>"2581.7"</f>
        <v>2581.7</v>
      </c>
      <c r="M250" s="3" t="str">
        <f t="shared" si="126"/>
        <v>20240516</v>
      </c>
      <c r="N250" s="3" t="s">
        <v>487</v>
      </c>
      <c r="O250" s="3"/>
    </row>
    <row r="251" spans="1:15">
      <c r="A251" s="3" t="str">
        <f>"661506215230600"</f>
        <v>661506215230600</v>
      </c>
      <c r="B251" s="3" t="s">
        <v>488</v>
      </c>
      <c r="C251" s="3" t="s">
        <v>16</v>
      </c>
      <c r="D251" s="3" t="str">
        <f t="shared" ref="D251:I251" si="155">"0"</f>
        <v>0</v>
      </c>
      <c r="E251" s="3" t="s">
        <v>17</v>
      </c>
      <c r="F251" s="3" t="s">
        <v>17</v>
      </c>
      <c r="G251" s="3" t="s">
        <v>25</v>
      </c>
      <c r="H251" s="3" t="str">
        <f t="shared" si="155"/>
        <v>0</v>
      </c>
      <c r="I251" s="3" t="str">
        <f t="shared" si="155"/>
        <v>0</v>
      </c>
      <c r="J251" s="3" t="str">
        <f>"3"</f>
        <v>3</v>
      </c>
      <c r="K251" s="3" t="str">
        <f>"1775.6"</f>
        <v>1775.6</v>
      </c>
      <c r="L251" s="3" t="str">
        <f>"1065.36"</f>
        <v>1065.36</v>
      </c>
      <c r="M251" s="3" t="str">
        <f t="shared" si="126"/>
        <v>20240516</v>
      </c>
      <c r="N251" s="3" t="s">
        <v>489</v>
      </c>
      <c r="O251" s="3"/>
    </row>
    <row r="252" spans="1:15">
      <c r="A252" s="3" t="str">
        <f>"661506215218500"</f>
        <v>661506215218500</v>
      </c>
      <c r="B252" s="3" t="s">
        <v>490</v>
      </c>
      <c r="C252" s="3" t="s">
        <v>16</v>
      </c>
      <c r="D252" s="3" t="str">
        <f t="shared" ref="D252:I252" si="156">"0"</f>
        <v>0</v>
      </c>
      <c r="E252" s="3" t="s">
        <v>17</v>
      </c>
      <c r="F252" s="3" t="s">
        <v>17</v>
      </c>
      <c r="G252" s="3" t="s">
        <v>25</v>
      </c>
      <c r="H252" s="3" t="str">
        <f t="shared" si="156"/>
        <v>0</v>
      </c>
      <c r="I252" s="3" t="str">
        <f t="shared" si="156"/>
        <v>0</v>
      </c>
      <c r="J252" s="3" t="str">
        <f>"1"</f>
        <v>1</v>
      </c>
      <c r="K252" s="3" t="str">
        <f>"761.94"</f>
        <v>761.94</v>
      </c>
      <c r="L252" s="3" t="str">
        <f>"457.16"</f>
        <v>457.16</v>
      </c>
      <c r="M252" s="3" t="str">
        <f t="shared" si="126"/>
        <v>20240516</v>
      </c>
      <c r="N252" s="3" t="s">
        <v>491</v>
      </c>
      <c r="O252" s="3"/>
    </row>
    <row r="253" spans="1:15">
      <c r="A253" s="3" t="str">
        <f>"661506215207500"</f>
        <v>661506215207500</v>
      </c>
      <c r="B253" s="3" t="s">
        <v>492</v>
      </c>
      <c r="C253" s="3" t="s">
        <v>16</v>
      </c>
      <c r="D253" s="3" t="str">
        <f t="shared" ref="D253:I253" si="157">"0"</f>
        <v>0</v>
      </c>
      <c r="E253" s="3" t="s">
        <v>17</v>
      </c>
      <c r="F253" s="3" t="s">
        <v>17</v>
      </c>
      <c r="G253" s="3" t="s">
        <v>18</v>
      </c>
      <c r="H253" s="3" t="str">
        <f t="shared" si="157"/>
        <v>0</v>
      </c>
      <c r="I253" s="3" t="str">
        <f t="shared" si="157"/>
        <v>0</v>
      </c>
      <c r="J253" s="3" t="str">
        <f>"9"</f>
        <v>9</v>
      </c>
      <c r="K253" s="3" t="str">
        <f>"5199.12"</f>
        <v>5199.12</v>
      </c>
      <c r="L253" s="3" t="str">
        <f>"3119.47"</f>
        <v>3119.47</v>
      </c>
      <c r="M253" s="3" t="str">
        <f t="shared" si="126"/>
        <v>20240516</v>
      </c>
      <c r="N253" s="3" t="str">
        <f>"911506210725919972"</f>
        <v>911506210725919972</v>
      </c>
      <c r="O253" s="3"/>
    </row>
    <row r="254" spans="1:15">
      <c r="A254" s="3" t="str">
        <f>"661506215122400"</f>
        <v>661506215122400</v>
      </c>
      <c r="B254" s="3" t="s">
        <v>493</v>
      </c>
      <c r="C254" s="3" t="s">
        <v>16</v>
      </c>
      <c r="D254" s="3" t="str">
        <f>"0"</f>
        <v>0</v>
      </c>
      <c r="E254" s="3" t="s">
        <v>17</v>
      </c>
      <c r="F254" s="3" t="s">
        <v>17</v>
      </c>
      <c r="G254" s="3" t="s">
        <v>25</v>
      </c>
      <c r="H254" s="3"/>
      <c r="I254" s="3"/>
      <c r="J254" s="3" t="str">
        <f>"19"</f>
        <v>19</v>
      </c>
      <c r="K254" s="3" t="str">
        <f>"10599.44"</f>
        <v>10599.44</v>
      </c>
      <c r="L254" s="3" t="str">
        <f>"6359.66"</f>
        <v>6359.66</v>
      </c>
      <c r="M254" s="3" t="str">
        <f t="shared" si="126"/>
        <v>20240516</v>
      </c>
      <c r="N254" s="3" t="s">
        <v>494</v>
      </c>
      <c r="O254" s="3"/>
    </row>
    <row r="255" spans="1:15">
      <c r="A255" s="3" t="str">
        <f>"661506215072500"</f>
        <v>661506215072500</v>
      </c>
      <c r="B255" s="3" t="s">
        <v>495</v>
      </c>
      <c r="C255" s="3" t="s">
        <v>16</v>
      </c>
      <c r="D255" s="3" t="str">
        <f t="shared" ref="D255:I255" si="158">"0"</f>
        <v>0</v>
      </c>
      <c r="E255" s="3" t="s">
        <v>17</v>
      </c>
      <c r="F255" s="3" t="s">
        <v>17</v>
      </c>
      <c r="G255" s="3" t="s">
        <v>18</v>
      </c>
      <c r="H255" s="3" t="str">
        <f t="shared" si="158"/>
        <v>0</v>
      </c>
      <c r="I255" s="3" t="str">
        <f t="shared" si="158"/>
        <v>0</v>
      </c>
      <c r="J255" s="3" t="str">
        <f>"15"</f>
        <v>15</v>
      </c>
      <c r="K255" s="3" t="str">
        <f>"8324.22"</f>
        <v>8324.22</v>
      </c>
      <c r="L255" s="3" t="str">
        <f>"4994.53"</f>
        <v>4994.53</v>
      </c>
      <c r="M255" s="3" t="str">
        <f t="shared" si="126"/>
        <v>20240516</v>
      </c>
      <c r="N255" s="3" t="s">
        <v>496</v>
      </c>
      <c r="O255" s="3"/>
    </row>
    <row r="256" spans="1:15">
      <c r="A256" s="3" t="str">
        <f>"661506215062400"</f>
        <v>661506215062400</v>
      </c>
      <c r="B256" s="3" t="s">
        <v>497</v>
      </c>
      <c r="C256" s="3"/>
      <c r="D256" s="3">
        <v>0.05</v>
      </c>
      <c r="E256" s="3" t="s">
        <v>17</v>
      </c>
      <c r="F256" s="3" t="s">
        <v>17</v>
      </c>
      <c r="G256" s="3" t="s">
        <v>25</v>
      </c>
      <c r="H256" s="3" t="str">
        <f t="shared" ref="H256:H265" si="159">"0"</f>
        <v>0</v>
      </c>
      <c r="I256" s="3" t="str">
        <f t="shared" ref="I256:I265" si="160">"0"</f>
        <v>0</v>
      </c>
      <c r="J256" s="3" t="str">
        <f>"21"</f>
        <v>21</v>
      </c>
      <c r="K256" s="3" t="str">
        <f>"11030.02"</f>
        <v>11030.02</v>
      </c>
      <c r="L256" s="3" t="str">
        <f>"6618.01"</f>
        <v>6618.01</v>
      </c>
      <c r="M256" s="3" t="str">
        <f t="shared" si="126"/>
        <v>20240516</v>
      </c>
      <c r="N256" s="3" t="s">
        <v>498</v>
      </c>
      <c r="O256" s="3"/>
    </row>
    <row r="257" spans="1:15">
      <c r="A257" s="3" t="str">
        <f>"661506214970400"</f>
        <v>661506214970400</v>
      </c>
      <c r="B257" s="3" t="s">
        <v>499</v>
      </c>
      <c r="C257" s="3" t="s">
        <v>16</v>
      </c>
      <c r="D257" s="3" t="str">
        <f t="shared" ref="D257:I257" si="161">"0"</f>
        <v>0</v>
      </c>
      <c r="E257" s="3" t="s">
        <v>17</v>
      </c>
      <c r="F257" s="3" t="s">
        <v>17</v>
      </c>
      <c r="G257" s="3" t="s">
        <v>25</v>
      </c>
      <c r="H257" s="3" t="str">
        <f t="shared" si="161"/>
        <v>0</v>
      </c>
      <c r="I257" s="3" t="str">
        <f t="shared" si="161"/>
        <v>0</v>
      </c>
      <c r="J257" s="3" t="str">
        <f>"15"</f>
        <v>15</v>
      </c>
      <c r="K257" s="3" t="str">
        <f>"9103.98"</f>
        <v>9103.98</v>
      </c>
      <c r="L257" s="3" t="str">
        <f>"5462.39"</f>
        <v>5462.39</v>
      </c>
      <c r="M257" s="3" t="str">
        <f t="shared" si="126"/>
        <v>20240516</v>
      </c>
      <c r="N257" s="3" t="s">
        <v>500</v>
      </c>
      <c r="O257" s="3"/>
    </row>
    <row r="258" spans="1:15">
      <c r="A258" s="3" t="str">
        <f>"661506214902500"</f>
        <v>661506214902500</v>
      </c>
      <c r="B258" s="3" t="s">
        <v>501</v>
      </c>
      <c r="C258" s="3" t="s">
        <v>16</v>
      </c>
      <c r="D258" s="3">
        <v>0.14</v>
      </c>
      <c r="E258" s="3" t="s">
        <v>17</v>
      </c>
      <c r="F258" s="3" t="s">
        <v>17</v>
      </c>
      <c r="G258" s="3" t="s">
        <v>25</v>
      </c>
      <c r="H258" s="3" t="str">
        <f t="shared" si="159"/>
        <v>0</v>
      </c>
      <c r="I258" s="3" t="str">
        <f t="shared" si="160"/>
        <v>0</v>
      </c>
      <c r="J258" s="3" t="str">
        <f>"14"</f>
        <v>14</v>
      </c>
      <c r="K258" s="3" t="str">
        <f>"8207.82"</f>
        <v>8207.82</v>
      </c>
      <c r="L258" s="3" t="str">
        <f>"4924.69"</f>
        <v>4924.69</v>
      </c>
      <c r="M258" s="3" t="str">
        <f t="shared" si="126"/>
        <v>20240516</v>
      </c>
      <c r="N258" s="3" t="s">
        <v>502</v>
      </c>
      <c r="O258" s="3"/>
    </row>
    <row r="259" spans="1:15">
      <c r="A259" s="3" t="str">
        <f>"661506214868500"</f>
        <v>661506214868500</v>
      </c>
      <c r="B259" s="3" t="s">
        <v>503</v>
      </c>
      <c r="C259" s="3" t="s">
        <v>16</v>
      </c>
      <c r="D259" s="3" t="str">
        <f t="shared" ref="D259:D288" si="162">"0"</f>
        <v>0</v>
      </c>
      <c r="E259" s="3" t="s">
        <v>17</v>
      </c>
      <c r="F259" s="3" t="s">
        <v>17</v>
      </c>
      <c r="G259" s="3" t="s">
        <v>16</v>
      </c>
      <c r="H259" s="3" t="str">
        <f t="shared" si="159"/>
        <v>0</v>
      </c>
      <c r="I259" s="3" t="str">
        <f t="shared" si="160"/>
        <v>0</v>
      </c>
      <c r="J259" s="3" t="str">
        <f>"2"</f>
        <v>2</v>
      </c>
      <c r="K259" s="3" t="str">
        <f>"1075.68"</f>
        <v>1075.68</v>
      </c>
      <c r="L259" s="3" t="str">
        <f>"322.7"</f>
        <v>322.7</v>
      </c>
      <c r="M259" s="3" t="str">
        <f t="shared" ref="M259:M322" si="163">"20240516"</f>
        <v>20240516</v>
      </c>
      <c r="N259" s="3" t="s">
        <v>504</v>
      </c>
      <c r="O259" s="3"/>
    </row>
    <row r="260" spans="1:15">
      <c r="A260" s="3" t="str">
        <f>"661506214842400"</f>
        <v>661506214842400</v>
      </c>
      <c r="B260" s="3" t="s">
        <v>505</v>
      </c>
      <c r="C260" s="3" t="s">
        <v>16</v>
      </c>
      <c r="D260" s="3" t="str">
        <f t="shared" si="162"/>
        <v>0</v>
      </c>
      <c r="E260" s="3" t="s">
        <v>17</v>
      </c>
      <c r="F260" s="3" t="s">
        <v>17</v>
      </c>
      <c r="G260" s="3" t="s">
        <v>25</v>
      </c>
      <c r="H260" s="3" t="str">
        <f t="shared" si="159"/>
        <v>0</v>
      </c>
      <c r="I260" s="3" t="str">
        <f t="shared" si="160"/>
        <v>0</v>
      </c>
      <c r="J260" s="3" t="str">
        <f>"2"</f>
        <v>2</v>
      </c>
      <c r="K260" s="3" t="str">
        <f>"1075.68"</f>
        <v>1075.68</v>
      </c>
      <c r="L260" s="3" t="str">
        <f>"645.41"</f>
        <v>645.41</v>
      </c>
      <c r="M260" s="3" t="str">
        <f t="shared" si="163"/>
        <v>20240516</v>
      </c>
      <c r="N260" s="3" t="s">
        <v>506</v>
      </c>
      <c r="O260" s="3"/>
    </row>
    <row r="261" spans="1:15">
      <c r="A261" s="3" t="str">
        <f>"661506214768400"</f>
        <v>661506214768400</v>
      </c>
      <c r="B261" s="3" t="s">
        <v>507</v>
      </c>
      <c r="C261" s="3" t="s">
        <v>16</v>
      </c>
      <c r="D261" s="3" t="str">
        <f t="shared" si="162"/>
        <v>0</v>
      </c>
      <c r="E261" s="3" t="s">
        <v>17</v>
      </c>
      <c r="F261" s="3" t="s">
        <v>17</v>
      </c>
      <c r="G261" s="3" t="s">
        <v>140</v>
      </c>
      <c r="H261" s="3" t="str">
        <f t="shared" si="159"/>
        <v>0</v>
      </c>
      <c r="I261" s="3" t="str">
        <f t="shared" si="160"/>
        <v>0</v>
      </c>
      <c r="J261" s="3" t="str">
        <f>"731"</f>
        <v>731</v>
      </c>
      <c r="K261" s="3" t="str">
        <f>"664050.26"</f>
        <v>664050.26</v>
      </c>
      <c r="L261" s="3" t="str">
        <f>"398430.16"</f>
        <v>398430.16</v>
      </c>
      <c r="M261" s="3" t="str">
        <f t="shared" si="163"/>
        <v>20240516</v>
      </c>
      <c r="N261" s="3" t="s">
        <v>508</v>
      </c>
      <c r="O261" s="3"/>
    </row>
    <row r="262" spans="1:15">
      <c r="A262" s="3" t="str">
        <f>"661506214758400"</f>
        <v>661506214758400</v>
      </c>
      <c r="B262" s="3" t="s">
        <v>509</v>
      </c>
      <c r="C262" s="3" t="s">
        <v>16</v>
      </c>
      <c r="D262" s="3" t="str">
        <f t="shared" si="162"/>
        <v>0</v>
      </c>
      <c r="E262" s="3" t="s">
        <v>17</v>
      </c>
      <c r="F262" s="3" t="s">
        <v>17</v>
      </c>
      <c r="G262" s="3" t="s">
        <v>25</v>
      </c>
      <c r="H262" s="3" t="str">
        <f t="shared" si="159"/>
        <v>0</v>
      </c>
      <c r="I262" s="3" t="str">
        <f t="shared" si="160"/>
        <v>0</v>
      </c>
      <c r="J262" s="3" t="str">
        <f>"1"</f>
        <v>1</v>
      </c>
      <c r="K262" s="3" t="str">
        <f>"537.84"</f>
        <v>537.84</v>
      </c>
      <c r="L262" s="3" t="str">
        <f>"322.7"</f>
        <v>322.7</v>
      </c>
      <c r="M262" s="3" t="str">
        <f t="shared" si="163"/>
        <v>20240516</v>
      </c>
      <c r="N262" s="3" t="s">
        <v>510</v>
      </c>
      <c r="O262" s="3"/>
    </row>
    <row r="263" spans="1:15">
      <c r="A263" s="3" t="str">
        <f>"661506214744200"</f>
        <v>661506214744200</v>
      </c>
      <c r="B263" s="3" t="s">
        <v>511</v>
      </c>
      <c r="C263" s="3"/>
      <c r="D263" s="3" t="str">
        <f t="shared" si="162"/>
        <v>0</v>
      </c>
      <c r="E263" s="3" t="s">
        <v>17</v>
      </c>
      <c r="F263" s="3" t="s">
        <v>17</v>
      </c>
      <c r="G263" s="3" t="s">
        <v>18</v>
      </c>
      <c r="H263" s="3" t="str">
        <f t="shared" si="159"/>
        <v>0</v>
      </c>
      <c r="I263" s="3" t="str">
        <f t="shared" si="160"/>
        <v>0</v>
      </c>
      <c r="J263" s="3" t="str">
        <f>"4"</f>
        <v>4</v>
      </c>
      <c r="K263" s="3" t="str">
        <f>"2153.52"</f>
        <v>2153.52</v>
      </c>
      <c r="L263" s="3" t="str">
        <f>"1292.11"</f>
        <v>1292.11</v>
      </c>
      <c r="M263" s="3" t="str">
        <f t="shared" si="163"/>
        <v>20240516</v>
      </c>
      <c r="N263" s="3" t="s">
        <v>512</v>
      </c>
      <c r="O263" s="3"/>
    </row>
    <row r="264" spans="1:15">
      <c r="A264" s="3" t="str">
        <f>"661506214682400"</f>
        <v>661506214682400</v>
      </c>
      <c r="B264" s="3" t="s">
        <v>513</v>
      </c>
      <c r="C264" s="3" t="s">
        <v>16</v>
      </c>
      <c r="D264" s="3" t="str">
        <f t="shared" si="162"/>
        <v>0</v>
      </c>
      <c r="E264" s="3" t="s">
        <v>17</v>
      </c>
      <c r="F264" s="3" t="s">
        <v>17</v>
      </c>
      <c r="G264" s="3" t="s">
        <v>18</v>
      </c>
      <c r="H264" s="3" t="str">
        <f t="shared" si="159"/>
        <v>0</v>
      </c>
      <c r="I264" s="3" t="str">
        <f t="shared" si="160"/>
        <v>0</v>
      </c>
      <c r="J264" s="3" t="str">
        <f>"12"</f>
        <v>12</v>
      </c>
      <c r="K264" s="3" t="str">
        <f>"7047.76"</f>
        <v>7047.76</v>
      </c>
      <c r="L264" s="3" t="str">
        <f>"4228.66"</f>
        <v>4228.66</v>
      </c>
      <c r="M264" s="3" t="str">
        <f t="shared" si="163"/>
        <v>20240516</v>
      </c>
      <c r="N264" s="3" t="s">
        <v>514</v>
      </c>
      <c r="O264" s="3"/>
    </row>
    <row r="265" spans="1:15">
      <c r="A265" s="3" t="str">
        <f>"661506214604400"</f>
        <v>661506214604400</v>
      </c>
      <c r="B265" s="3" t="s">
        <v>515</v>
      </c>
      <c r="C265" s="3" t="s">
        <v>16</v>
      </c>
      <c r="D265" s="3" t="str">
        <f t="shared" si="162"/>
        <v>0</v>
      </c>
      <c r="E265" s="3" t="s">
        <v>17</v>
      </c>
      <c r="F265" s="3" t="s">
        <v>17</v>
      </c>
      <c r="G265" s="3" t="s">
        <v>18</v>
      </c>
      <c r="H265" s="3" t="str">
        <f t="shared" si="159"/>
        <v>0</v>
      </c>
      <c r="I265" s="3" t="str">
        <f t="shared" si="160"/>
        <v>0</v>
      </c>
      <c r="J265" s="3" t="str">
        <f>"45"</f>
        <v>45</v>
      </c>
      <c r="K265" s="3" t="str">
        <f>"26662.66"</f>
        <v>26662.66</v>
      </c>
      <c r="L265" s="3" t="str">
        <f>"15997.6"</f>
        <v>15997.6</v>
      </c>
      <c r="M265" s="3" t="str">
        <f t="shared" si="163"/>
        <v>20240516</v>
      </c>
      <c r="N265" s="3" t="s">
        <v>516</v>
      </c>
      <c r="O265" s="3"/>
    </row>
    <row r="266" spans="1:15">
      <c r="A266" s="3" t="str">
        <f>"661506214506500"</f>
        <v>661506214506500</v>
      </c>
      <c r="B266" s="3" t="s">
        <v>517</v>
      </c>
      <c r="C266" s="3" t="s">
        <v>16</v>
      </c>
      <c r="D266" s="3" t="str">
        <f t="shared" si="162"/>
        <v>0</v>
      </c>
      <c r="E266" s="3" t="s">
        <v>17</v>
      </c>
      <c r="F266" s="3" t="s">
        <v>17</v>
      </c>
      <c r="G266" s="3" t="s">
        <v>16</v>
      </c>
      <c r="H266" s="3"/>
      <c r="I266" s="3"/>
      <c r="J266" s="3" t="str">
        <f>"9"</f>
        <v>9</v>
      </c>
      <c r="K266" s="3" t="str">
        <f>"5748.48"</f>
        <v>5748.48</v>
      </c>
      <c r="L266" s="3" t="str">
        <f>"1724.54"</f>
        <v>1724.54</v>
      </c>
      <c r="M266" s="3" t="str">
        <f t="shared" si="163"/>
        <v>20240516</v>
      </c>
      <c r="N266" s="3" t="s">
        <v>518</v>
      </c>
      <c r="O266" s="3"/>
    </row>
    <row r="267" spans="1:15">
      <c r="A267" s="3" t="str">
        <f>"661506214502400"</f>
        <v>661506214502400</v>
      </c>
      <c r="B267" s="3" t="s">
        <v>519</v>
      </c>
      <c r="C267" s="3" t="s">
        <v>16</v>
      </c>
      <c r="D267" s="3" t="str">
        <f t="shared" si="162"/>
        <v>0</v>
      </c>
      <c r="E267" s="3" t="s">
        <v>17</v>
      </c>
      <c r="F267" s="3" t="s">
        <v>17</v>
      </c>
      <c r="G267" s="3" t="s">
        <v>25</v>
      </c>
      <c r="H267" s="3" t="str">
        <f t="shared" ref="H267:H278" si="164">"0"</f>
        <v>0</v>
      </c>
      <c r="I267" s="3" t="str">
        <f t="shared" ref="I267:I278" si="165">"0"</f>
        <v>0</v>
      </c>
      <c r="J267" s="3" t="str">
        <f>"11"</f>
        <v>11</v>
      </c>
      <c r="K267" s="3" t="str">
        <f>"6396.26"</f>
        <v>6396.26</v>
      </c>
      <c r="L267" s="3" t="str">
        <f>"3837.76"</f>
        <v>3837.76</v>
      </c>
      <c r="M267" s="3" t="str">
        <f t="shared" si="163"/>
        <v>20240516</v>
      </c>
      <c r="N267" s="3" t="s">
        <v>520</v>
      </c>
      <c r="O267" s="3"/>
    </row>
    <row r="268" spans="1:15">
      <c r="A268" s="3" t="str">
        <f>"661506214498400"</f>
        <v>661506214498400</v>
      </c>
      <c r="B268" s="3" t="s">
        <v>521</v>
      </c>
      <c r="C268" s="3" t="s">
        <v>16</v>
      </c>
      <c r="D268" s="3" t="str">
        <f t="shared" si="162"/>
        <v>0</v>
      </c>
      <c r="E268" s="3" t="s">
        <v>17</v>
      </c>
      <c r="F268" s="3" t="s">
        <v>17</v>
      </c>
      <c r="G268" s="3" t="s">
        <v>25</v>
      </c>
      <c r="H268" s="3" t="str">
        <f t="shared" si="164"/>
        <v>0</v>
      </c>
      <c r="I268" s="3" t="str">
        <f t="shared" si="165"/>
        <v>0</v>
      </c>
      <c r="J268" s="3" t="str">
        <f>"3"</f>
        <v>3</v>
      </c>
      <c r="K268" s="3" t="str">
        <f>"1613.52"</f>
        <v>1613.52</v>
      </c>
      <c r="L268" s="3" t="str">
        <f>"968.11"</f>
        <v>968.11</v>
      </c>
      <c r="M268" s="3" t="str">
        <f t="shared" si="163"/>
        <v>20240516</v>
      </c>
      <c r="N268" s="3" t="s">
        <v>522</v>
      </c>
      <c r="O268" s="3"/>
    </row>
    <row r="269" spans="1:15">
      <c r="A269" s="3" t="str">
        <f>"661506214456400"</f>
        <v>661506214456400</v>
      </c>
      <c r="B269" s="3" t="s">
        <v>523</v>
      </c>
      <c r="C269" s="3" t="s">
        <v>16</v>
      </c>
      <c r="D269" s="3" t="str">
        <f t="shared" si="162"/>
        <v>0</v>
      </c>
      <c r="E269" s="3" t="s">
        <v>17</v>
      </c>
      <c r="F269" s="3" t="s">
        <v>17</v>
      </c>
      <c r="G269" s="3" t="s">
        <v>25</v>
      </c>
      <c r="H269" s="3" t="str">
        <f t="shared" si="164"/>
        <v>0</v>
      </c>
      <c r="I269" s="3" t="str">
        <f t="shared" si="165"/>
        <v>0</v>
      </c>
      <c r="J269" s="3" t="str">
        <f>"1"</f>
        <v>1</v>
      </c>
      <c r="K269" s="3" t="str">
        <f>"666.24"</f>
        <v>666.24</v>
      </c>
      <c r="L269" s="3" t="str">
        <f>"399.74"</f>
        <v>399.74</v>
      </c>
      <c r="M269" s="3" t="str">
        <f t="shared" si="163"/>
        <v>20240516</v>
      </c>
      <c r="N269" s="3" t="s">
        <v>524</v>
      </c>
      <c r="O269" s="3"/>
    </row>
    <row r="270" spans="1:15">
      <c r="A270" s="3" t="str">
        <f>"661506214426400"</f>
        <v>661506214426400</v>
      </c>
      <c r="B270" s="3" t="s">
        <v>525</v>
      </c>
      <c r="C270" s="3" t="s">
        <v>16</v>
      </c>
      <c r="D270" s="3" t="str">
        <f t="shared" si="162"/>
        <v>0</v>
      </c>
      <c r="E270" s="3" t="s">
        <v>17</v>
      </c>
      <c r="F270" s="3" t="s">
        <v>17</v>
      </c>
      <c r="G270" s="3" t="s">
        <v>25</v>
      </c>
      <c r="H270" s="3" t="str">
        <f t="shared" si="164"/>
        <v>0</v>
      </c>
      <c r="I270" s="3" t="str">
        <f t="shared" si="165"/>
        <v>0</v>
      </c>
      <c r="J270" s="3" t="str">
        <f>"6"</f>
        <v>6</v>
      </c>
      <c r="K270" s="3" t="str">
        <f>"3227.04"</f>
        <v>3227.04</v>
      </c>
      <c r="L270" s="3" t="str">
        <f>"1936.22"</f>
        <v>1936.22</v>
      </c>
      <c r="M270" s="3" t="str">
        <f t="shared" si="163"/>
        <v>20240516</v>
      </c>
      <c r="N270" s="3" t="s">
        <v>526</v>
      </c>
      <c r="O270" s="3"/>
    </row>
    <row r="271" spans="1:15">
      <c r="A271" s="3" t="str">
        <f>"661506214388600"</f>
        <v>661506214388600</v>
      </c>
      <c r="B271" s="3" t="s">
        <v>527</v>
      </c>
      <c r="C271" s="3" t="s">
        <v>16</v>
      </c>
      <c r="D271" s="3" t="str">
        <f t="shared" si="162"/>
        <v>0</v>
      </c>
      <c r="E271" s="3" t="s">
        <v>17</v>
      </c>
      <c r="F271" s="3" t="s">
        <v>17</v>
      </c>
      <c r="G271" s="3" t="s">
        <v>18</v>
      </c>
      <c r="H271" s="3" t="str">
        <f t="shared" si="164"/>
        <v>0</v>
      </c>
      <c r="I271" s="3" t="str">
        <f t="shared" si="165"/>
        <v>0</v>
      </c>
      <c r="J271" s="3" t="str">
        <f>"30"</f>
        <v>30</v>
      </c>
      <c r="K271" s="3" t="str">
        <f>"18544.68"</f>
        <v>18544.68</v>
      </c>
      <c r="L271" s="3" t="str">
        <f>"11126.81"</f>
        <v>11126.81</v>
      </c>
      <c r="M271" s="3" t="str">
        <f t="shared" si="163"/>
        <v>20240516</v>
      </c>
      <c r="N271" s="3" t="s">
        <v>528</v>
      </c>
      <c r="O271" s="3"/>
    </row>
    <row r="272" spans="1:15">
      <c r="A272" s="3" t="str">
        <f>"661506214386400"</f>
        <v>661506214386400</v>
      </c>
      <c r="B272" s="3" t="s">
        <v>529</v>
      </c>
      <c r="C272" s="3" t="s">
        <v>16</v>
      </c>
      <c r="D272" s="3" t="str">
        <f t="shared" si="162"/>
        <v>0</v>
      </c>
      <c r="E272" s="3" t="s">
        <v>17</v>
      </c>
      <c r="F272" s="3" t="s">
        <v>17</v>
      </c>
      <c r="G272" s="3" t="s">
        <v>25</v>
      </c>
      <c r="H272" s="3" t="str">
        <f t="shared" si="164"/>
        <v>0</v>
      </c>
      <c r="I272" s="3" t="str">
        <f t="shared" si="165"/>
        <v>0</v>
      </c>
      <c r="J272" s="3" t="str">
        <f>"7"</f>
        <v>7</v>
      </c>
      <c r="K272" s="3" t="str">
        <f>"4234.92"</f>
        <v>4234.92</v>
      </c>
      <c r="L272" s="3" t="str">
        <f>"2540.95"</f>
        <v>2540.95</v>
      </c>
      <c r="M272" s="3" t="str">
        <f t="shared" si="163"/>
        <v>20240516</v>
      </c>
      <c r="N272" s="3" t="s">
        <v>530</v>
      </c>
      <c r="O272" s="3"/>
    </row>
    <row r="273" spans="1:15">
      <c r="A273" s="3" t="str">
        <f>"661506214254400"</f>
        <v>661506214254400</v>
      </c>
      <c r="B273" s="3" t="s">
        <v>531</v>
      </c>
      <c r="C273" s="3" t="s">
        <v>16</v>
      </c>
      <c r="D273" s="3" t="str">
        <f t="shared" si="162"/>
        <v>0</v>
      </c>
      <c r="E273" s="3" t="s">
        <v>17</v>
      </c>
      <c r="F273" s="3" t="s">
        <v>17</v>
      </c>
      <c r="G273" s="3" t="s">
        <v>25</v>
      </c>
      <c r="H273" s="3" t="str">
        <f t="shared" si="164"/>
        <v>0</v>
      </c>
      <c r="I273" s="3" t="str">
        <f t="shared" si="165"/>
        <v>0</v>
      </c>
      <c r="J273" s="3" t="str">
        <f>"4"</f>
        <v>4</v>
      </c>
      <c r="K273" s="3" t="str">
        <f>"2151.36"</f>
        <v>2151.36</v>
      </c>
      <c r="L273" s="3" t="str">
        <f>"1290.82"</f>
        <v>1290.82</v>
      </c>
      <c r="M273" s="3" t="str">
        <f t="shared" si="163"/>
        <v>20240516</v>
      </c>
      <c r="N273" s="3" t="s">
        <v>532</v>
      </c>
      <c r="O273" s="3"/>
    </row>
    <row r="274" spans="1:15">
      <c r="A274" s="3" t="str">
        <f>"661506214230400"</f>
        <v>661506214230400</v>
      </c>
      <c r="B274" s="3" t="s">
        <v>533</v>
      </c>
      <c r="C274" s="3" t="s">
        <v>16</v>
      </c>
      <c r="D274" s="3" t="str">
        <f t="shared" si="162"/>
        <v>0</v>
      </c>
      <c r="E274" s="3" t="s">
        <v>17</v>
      </c>
      <c r="F274" s="3" t="s">
        <v>17</v>
      </c>
      <c r="G274" s="3" t="s">
        <v>16</v>
      </c>
      <c r="H274" s="3" t="str">
        <f t="shared" si="164"/>
        <v>0</v>
      </c>
      <c r="I274" s="3" t="str">
        <f t="shared" si="165"/>
        <v>0</v>
      </c>
      <c r="J274" s="3" t="str">
        <f>"1"</f>
        <v>1</v>
      </c>
      <c r="K274" s="3" t="str">
        <f>"939.36"</f>
        <v>939.36</v>
      </c>
      <c r="L274" s="3" t="str">
        <f>"281.81"</f>
        <v>281.81</v>
      </c>
      <c r="M274" s="3" t="str">
        <f t="shared" si="163"/>
        <v>20240516</v>
      </c>
      <c r="N274" s="3" t="s">
        <v>534</v>
      </c>
      <c r="O274" s="3"/>
    </row>
    <row r="275" spans="1:15">
      <c r="A275" s="3" t="str">
        <f>"661506214154400"</f>
        <v>661506214154400</v>
      </c>
      <c r="B275" s="3" t="s">
        <v>535</v>
      </c>
      <c r="C275" s="3" t="s">
        <v>16</v>
      </c>
      <c r="D275" s="3" t="str">
        <f t="shared" si="162"/>
        <v>0</v>
      </c>
      <c r="E275" s="3" t="s">
        <v>17</v>
      </c>
      <c r="F275" s="3" t="s">
        <v>17</v>
      </c>
      <c r="G275" s="3" t="s">
        <v>18</v>
      </c>
      <c r="H275" s="3" t="str">
        <f t="shared" si="164"/>
        <v>0</v>
      </c>
      <c r="I275" s="3" t="str">
        <f t="shared" si="165"/>
        <v>0</v>
      </c>
      <c r="J275" s="3" t="str">
        <f>"6"</f>
        <v>6</v>
      </c>
      <c r="K275" s="3" t="str">
        <f>"5918.44"</f>
        <v>5918.44</v>
      </c>
      <c r="L275" s="3" t="str">
        <f>"3551.06"</f>
        <v>3551.06</v>
      </c>
      <c r="M275" s="3" t="str">
        <f t="shared" si="163"/>
        <v>20240516</v>
      </c>
      <c r="N275" s="3" t="s">
        <v>536</v>
      </c>
      <c r="O275" s="3"/>
    </row>
    <row r="276" spans="1:15">
      <c r="A276" s="3" t="str">
        <f>"661506214080400"</f>
        <v>661506214080400</v>
      </c>
      <c r="B276" s="3" t="s">
        <v>537</v>
      </c>
      <c r="C276" s="3" t="s">
        <v>16</v>
      </c>
      <c r="D276" s="3" t="str">
        <f t="shared" si="162"/>
        <v>0</v>
      </c>
      <c r="E276" s="3" t="s">
        <v>17</v>
      </c>
      <c r="F276" s="3" t="s">
        <v>17</v>
      </c>
      <c r="G276" s="3" t="s">
        <v>25</v>
      </c>
      <c r="H276" s="3" t="str">
        <f t="shared" si="164"/>
        <v>0</v>
      </c>
      <c r="I276" s="3" t="str">
        <f t="shared" si="165"/>
        <v>0</v>
      </c>
      <c r="J276" s="3" t="str">
        <f>"3"</f>
        <v>3</v>
      </c>
      <c r="K276" s="3" t="str">
        <f>"1613.52"</f>
        <v>1613.52</v>
      </c>
      <c r="L276" s="3" t="str">
        <f>"968.11"</f>
        <v>968.11</v>
      </c>
      <c r="M276" s="3" t="str">
        <f t="shared" si="163"/>
        <v>20240516</v>
      </c>
      <c r="N276" s="3" t="str">
        <f>"911506213971593421"</f>
        <v>911506213971593421</v>
      </c>
      <c r="O276" s="3"/>
    </row>
    <row r="277" spans="1:15">
      <c r="A277" s="3" t="str">
        <f>"661506214078400"</f>
        <v>661506214078400</v>
      </c>
      <c r="B277" s="3" t="s">
        <v>538</v>
      </c>
      <c r="C277" s="3" t="s">
        <v>16</v>
      </c>
      <c r="D277" s="3" t="str">
        <f t="shared" si="162"/>
        <v>0</v>
      </c>
      <c r="E277" s="3" t="s">
        <v>17</v>
      </c>
      <c r="F277" s="3" t="s">
        <v>17</v>
      </c>
      <c r="G277" s="3" t="s">
        <v>25</v>
      </c>
      <c r="H277" s="3" t="str">
        <f t="shared" si="164"/>
        <v>0</v>
      </c>
      <c r="I277" s="3" t="str">
        <f t="shared" si="165"/>
        <v>0</v>
      </c>
      <c r="J277" s="3" t="str">
        <f>"12"</f>
        <v>12</v>
      </c>
      <c r="K277" s="3" t="str">
        <f>"6699.84"</f>
        <v>6699.84</v>
      </c>
      <c r="L277" s="3" t="str">
        <f>"4019.9"</f>
        <v>4019.9</v>
      </c>
      <c r="M277" s="3" t="str">
        <f t="shared" si="163"/>
        <v>20240516</v>
      </c>
      <c r="N277" s="3" t="str">
        <f>"911506213290049398"</f>
        <v>911506213290049398</v>
      </c>
      <c r="O277" s="3"/>
    </row>
    <row r="278" spans="1:15">
      <c r="A278" s="3" t="str">
        <f>"661506214076400"</f>
        <v>661506214076400</v>
      </c>
      <c r="B278" s="3" t="s">
        <v>539</v>
      </c>
      <c r="C278" s="3" t="s">
        <v>16</v>
      </c>
      <c r="D278" s="3" t="str">
        <f t="shared" si="162"/>
        <v>0</v>
      </c>
      <c r="E278" s="3" t="s">
        <v>17</v>
      </c>
      <c r="F278" s="3" t="s">
        <v>17</v>
      </c>
      <c r="G278" s="3" t="s">
        <v>18</v>
      </c>
      <c r="H278" s="3" t="str">
        <f t="shared" si="164"/>
        <v>0</v>
      </c>
      <c r="I278" s="3" t="str">
        <f t="shared" si="165"/>
        <v>0</v>
      </c>
      <c r="J278" s="3" t="str">
        <f>"9"</f>
        <v>9</v>
      </c>
      <c r="K278" s="3" t="str">
        <f>"6430.2"</f>
        <v>6430.2</v>
      </c>
      <c r="L278" s="3" t="str">
        <f>"3858.12"</f>
        <v>3858.12</v>
      </c>
      <c r="M278" s="3" t="str">
        <f t="shared" si="163"/>
        <v>20240516</v>
      </c>
      <c r="N278" s="3" t="str">
        <f>"911506217014175116"</f>
        <v>911506217014175116</v>
      </c>
      <c r="O278" s="3"/>
    </row>
    <row r="279" spans="1:15">
      <c r="A279" s="3" t="str">
        <f>"661506213984400"</f>
        <v>661506213984400</v>
      </c>
      <c r="B279" s="3" t="s">
        <v>540</v>
      </c>
      <c r="C279" s="3" t="s">
        <v>16</v>
      </c>
      <c r="D279" s="3" t="str">
        <f t="shared" si="162"/>
        <v>0</v>
      </c>
      <c r="E279" s="3" t="s">
        <v>17</v>
      </c>
      <c r="F279" s="3" t="s">
        <v>17</v>
      </c>
      <c r="G279" s="3" t="s">
        <v>16</v>
      </c>
      <c r="H279" s="3"/>
      <c r="I279" s="3"/>
      <c r="J279" s="3" t="str">
        <f>"10"</f>
        <v>10</v>
      </c>
      <c r="K279" s="3" t="str">
        <f>"5109.48"</f>
        <v>5109.48</v>
      </c>
      <c r="L279" s="3" t="str">
        <f>"1532.84"</f>
        <v>1532.84</v>
      </c>
      <c r="M279" s="3" t="str">
        <f t="shared" si="163"/>
        <v>20240516</v>
      </c>
      <c r="N279" s="3" t="s">
        <v>541</v>
      </c>
      <c r="O279" s="3"/>
    </row>
    <row r="280" spans="1:15">
      <c r="A280" s="3" t="str">
        <f>"661506213966400"</f>
        <v>661506213966400</v>
      </c>
      <c r="B280" s="3" t="s">
        <v>542</v>
      </c>
      <c r="C280" s="3"/>
      <c r="D280" s="3" t="str">
        <f t="shared" si="162"/>
        <v>0</v>
      </c>
      <c r="E280" s="3" t="s">
        <v>17</v>
      </c>
      <c r="F280" s="3" t="s">
        <v>17</v>
      </c>
      <c r="G280" s="3" t="s">
        <v>25</v>
      </c>
      <c r="H280" s="3" t="str">
        <f t="shared" ref="H280:H343" si="166">"0"</f>
        <v>0</v>
      </c>
      <c r="I280" s="3" t="str">
        <f t="shared" ref="I280:I343" si="167">"0"</f>
        <v>0</v>
      </c>
      <c r="J280" s="3" t="str">
        <f>"3"</f>
        <v>3</v>
      </c>
      <c r="K280" s="3" t="str">
        <f>"1627.2"</f>
        <v>1627.2</v>
      </c>
      <c r="L280" s="3" t="str">
        <f>"976.32"</f>
        <v>976.32</v>
      </c>
      <c r="M280" s="3" t="str">
        <f t="shared" si="163"/>
        <v>20240516</v>
      </c>
      <c r="N280" s="3" t="s">
        <v>543</v>
      </c>
      <c r="O280" s="3"/>
    </row>
    <row r="281" spans="1:15">
      <c r="A281" s="3" t="str">
        <f>"661506213902400"</f>
        <v>661506213902400</v>
      </c>
      <c r="B281" s="3" t="s">
        <v>544</v>
      </c>
      <c r="C281" s="3" t="s">
        <v>16</v>
      </c>
      <c r="D281" s="3" t="str">
        <f t="shared" si="162"/>
        <v>0</v>
      </c>
      <c r="E281" s="3" t="s">
        <v>17</v>
      </c>
      <c r="F281" s="3" t="s">
        <v>17</v>
      </c>
      <c r="G281" s="3" t="s">
        <v>25</v>
      </c>
      <c r="H281" s="3" t="str">
        <f t="shared" si="166"/>
        <v>0</v>
      </c>
      <c r="I281" s="3" t="str">
        <f t="shared" si="167"/>
        <v>0</v>
      </c>
      <c r="J281" s="3" t="str">
        <f>"2"</f>
        <v>2</v>
      </c>
      <c r="K281" s="3" t="str">
        <f>"1075.68"</f>
        <v>1075.68</v>
      </c>
      <c r="L281" s="3" t="str">
        <f>"645.41"</f>
        <v>645.41</v>
      </c>
      <c r="M281" s="3" t="str">
        <f t="shared" si="163"/>
        <v>20240516</v>
      </c>
      <c r="N281" s="3" t="s">
        <v>545</v>
      </c>
      <c r="O281" s="3"/>
    </row>
    <row r="282" spans="1:15">
      <c r="A282" s="3" t="str">
        <f>"661506213832400"</f>
        <v>661506213832400</v>
      </c>
      <c r="B282" s="3" t="s">
        <v>546</v>
      </c>
      <c r="C282" s="3" t="s">
        <v>16</v>
      </c>
      <c r="D282" s="3" t="str">
        <f t="shared" si="162"/>
        <v>0</v>
      </c>
      <c r="E282" s="3" t="s">
        <v>17</v>
      </c>
      <c r="F282" s="3" t="s">
        <v>17</v>
      </c>
      <c r="G282" s="3" t="s">
        <v>18</v>
      </c>
      <c r="H282" s="3" t="str">
        <f t="shared" si="166"/>
        <v>0</v>
      </c>
      <c r="I282" s="3" t="str">
        <f t="shared" si="167"/>
        <v>0</v>
      </c>
      <c r="J282" s="3" t="str">
        <f>"122"</f>
        <v>122</v>
      </c>
      <c r="K282" s="3" t="str">
        <f>"65373.12"</f>
        <v>65373.12</v>
      </c>
      <c r="L282" s="3" t="str">
        <f>"39223.87"</f>
        <v>39223.87</v>
      </c>
      <c r="M282" s="3" t="str">
        <f t="shared" si="163"/>
        <v>20240516</v>
      </c>
      <c r="N282" s="3" t="s">
        <v>547</v>
      </c>
      <c r="O282" s="3"/>
    </row>
    <row r="283" spans="1:15">
      <c r="A283" s="3" t="str">
        <f>"661506213756400"</f>
        <v>661506213756400</v>
      </c>
      <c r="B283" s="3" t="s">
        <v>548</v>
      </c>
      <c r="C283" s="3" t="s">
        <v>16</v>
      </c>
      <c r="D283" s="3" t="str">
        <f t="shared" si="162"/>
        <v>0</v>
      </c>
      <c r="E283" s="3" t="s">
        <v>17</v>
      </c>
      <c r="F283" s="3" t="s">
        <v>17</v>
      </c>
      <c r="G283" s="3" t="s">
        <v>18</v>
      </c>
      <c r="H283" s="3" t="str">
        <f t="shared" si="166"/>
        <v>0</v>
      </c>
      <c r="I283" s="3" t="str">
        <f t="shared" si="167"/>
        <v>0</v>
      </c>
      <c r="J283" s="3" t="str">
        <f>"11"</f>
        <v>11</v>
      </c>
      <c r="K283" s="3" t="str">
        <f>"6095.52"</f>
        <v>6095.52</v>
      </c>
      <c r="L283" s="3" t="str">
        <f>"3657.31"</f>
        <v>3657.31</v>
      </c>
      <c r="M283" s="3" t="str">
        <f t="shared" si="163"/>
        <v>20240516</v>
      </c>
      <c r="N283" s="3" t="s">
        <v>549</v>
      </c>
      <c r="O283" s="3"/>
    </row>
    <row r="284" spans="1:15">
      <c r="A284" s="3" t="str">
        <f>"661506213754400"</f>
        <v>661506213754400</v>
      </c>
      <c r="B284" s="3" t="s">
        <v>550</v>
      </c>
      <c r="C284" s="3" t="s">
        <v>16</v>
      </c>
      <c r="D284" s="3" t="str">
        <f t="shared" si="162"/>
        <v>0</v>
      </c>
      <c r="E284" s="3" t="s">
        <v>17</v>
      </c>
      <c r="F284" s="3" t="s">
        <v>17</v>
      </c>
      <c r="G284" s="3" t="s">
        <v>25</v>
      </c>
      <c r="H284" s="3" t="str">
        <f t="shared" si="166"/>
        <v>0</v>
      </c>
      <c r="I284" s="3" t="str">
        <f t="shared" si="167"/>
        <v>0</v>
      </c>
      <c r="J284" s="3" t="str">
        <f>"11"</f>
        <v>11</v>
      </c>
      <c r="K284" s="3" t="str">
        <f>"6319.62"</f>
        <v>6319.62</v>
      </c>
      <c r="L284" s="3" t="str">
        <f>"3791.77"</f>
        <v>3791.77</v>
      </c>
      <c r="M284" s="3" t="str">
        <f t="shared" si="163"/>
        <v>20240516</v>
      </c>
      <c r="N284" s="3" t="s">
        <v>551</v>
      </c>
      <c r="O284" s="3"/>
    </row>
    <row r="285" spans="1:15">
      <c r="A285" s="3" t="str">
        <f>"661506213722400"</f>
        <v>661506213722400</v>
      </c>
      <c r="B285" s="3" t="s">
        <v>552</v>
      </c>
      <c r="C285" s="3" t="s">
        <v>16</v>
      </c>
      <c r="D285" s="3" t="str">
        <f t="shared" si="162"/>
        <v>0</v>
      </c>
      <c r="E285" s="3" t="s">
        <v>17</v>
      </c>
      <c r="F285" s="3" t="s">
        <v>17</v>
      </c>
      <c r="G285" s="3" t="s">
        <v>18</v>
      </c>
      <c r="H285" s="3" t="str">
        <f t="shared" si="166"/>
        <v>0</v>
      </c>
      <c r="I285" s="3" t="str">
        <f t="shared" si="167"/>
        <v>0</v>
      </c>
      <c r="J285" s="3" t="str">
        <f>"12"</f>
        <v>12</v>
      </c>
      <c r="K285" s="3" t="str">
        <f>"6723"</f>
        <v>6723</v>
      </c>
      <c r="L285" s="3" t="str">
        <f>"4033.8"</f>
        <v>4033.8</v>
      </c>
      <c r="M285" s="3" t="str">
        <f t="shared" si="163"/>
        <v>20240516</v>
      </c>
      <c r="N285" s="3" t="str">
        <f>"911506213290147231"</f>
        <v>911506213290147231</v>
      </c>
      <c r="O285" s="3"/>
    </row>
    <row r="286" spans="1:15">
      <c r="A286" s="3" t="str">
        <f>"661506213694500"</f>
        <v>661506213694500</v>
      </c>
      <c r="B286" s="3" t="s">
        <v>553</v>
      </c>
      <c r="C286" s="3" t="s">
        <v>16</v>
      </c>
      <c r="D286" s="3" t="str">
        <f t="shared" si="162"/>
        <v>0</v>
      </c>
      <c r="E286" s="3" t="s">
        <v>17</v>
      </c>
      <c r="F286" s="3" t="s">
        <v>17</v>
      </c>
      <c r="G286" s="3" t="s">
        <v>18</v>
      </c>
      <c r="H286" s="3" t="str">
        <f t="shared" si="166"/>
        <v>0</v>
      </c>
      <c r="I286" s="3" t="str">
        <f t="shared" si="167"/>
        <v>0</v>
      </c>
      <c r="J286" s="3" t="str">
        <f>"6"</f>
        <v>6</v>
      </c>
      <c r="K286" s="3" t="str">
        <f>"3797.4"</f>
        <v>3797.4</v>
      </c>
      <c r="L286" s="3" t="str">
        <f>"2278.44"</f>
        <v>2278.44</v>
      </c>
      <c r="M286" s="3" t="str">
        <f t="shared" si="163"/>
        <v>20240516</v>
      </c>
      <c r="N286" s="3" t="s">
        <v>554</v>
      </c>
      <c r="O286" s="3"/>
    </row>
    <row r="287" spans="1:15">
      <c r="A287" s="3" t="str">
        <f>"661506213634500"</f>
        <v>661506213634500</v>
      </c>
      <c r="B287" s="3" t="s">
        <v>555</v>
      </c>
      <c r="C287" s="3" t="s">
        <v>16</v>
      </c>
      <c r="D287" s="3" t="str">
        <f t="shared" si="162"/>
        <v>0</v>
      </c>
      <c r="E287" s="3" t="s">
        <v>17</v>
      </c>
      <c r="F287" s="3" t="s">
        <v>17</v>
      </c>
      <c r="G287" s="3" t="s">
        <v>25</v>
      </c>
      <c r="H287" s="3" t="str">
        <f t="shared" si="166"/>
        <v>0</v>
      </c>
      <c r="I287" s="3" t="str">
        <f t="shared" si="167"/>
        <v>0</v>
      </c>
      <c r="J287" s="3" t="str">
        <f>"2"</f>
        <v>2</v>
      </c>
      <c r="K287" s="3" t="str">
        <f>"1920"</f>
        <v>1920</v>
      </c>
      <c r="L287" s="3" t="str">
        <f>"1152"</f>
        <v>1152</v>
      </c>
      <c r="M287" s="3" t="str">
        <f t="shared" si="163"/>
        <v>20240516</v>
      </c>
      <c r="N287" s="3" t="s">
        <v>556</v>
      </c>
      <c r="O287" s="3"/>
    </row>
    <row r="288" spans="1:15">
      <c r="A288" s="3" t="str">
        <f>"661506213590500"</f>
        <v>661506213590500</v>
      </c>
      <c r="B288" s="3" t="s">
        <v>557</v>
      </c>
      <c r="C288" s="3" t="s">
        <v>16</v>
      </c>
      <c r="D288" s="3" t="str">
        <f t="shared" si="162"/>
        <v>0</v>
      </c>
      <c r="E288" s="3" t="s">
        <v>17</v>
      </c>
      <c r="F288" s="3" t="s">
        <v>17</v>
      </c>
      <c r="G288" s="3" t="s">
        <v>25</v>
      </c>
      <c r="H288" s="3" t="str">
        <f t="shared" si="166"/>
        <v>0</v>
      </c>
      <c r="I288" s="3" t="str">
        <f t="shared" si="167"/>
        <v>0</v>
      </c>
      <c r="J288" s="3" t="str">
        <f>"3"</f>
        <v>3</v>
      </c>
      <c r="K288" s="3" t="str">
        <f>"1703.16"</f>
        <v>1703.16</v>
      </c>
      <c r="L288" s="3" t="str">
        <f>"1021.9"</f>
        <v>1021.9</v>
      </c>
      <c r="M288" s="3" t="str">
        <f t="shared" si="163"/>
        <v>20240516</v>
      </c>
      <c r="N288" s="3" t="s">
        <v>558</v>
      </c>
      <c r="O288" s="3"/>
    </row>
    <row r="289" spans="1:15">
      <c r="A289" s="3" t="str">
        <f>"661506213558300"</f>
        <v>661506213558300</v>
      </c>
      <c r="B289" s="3" t="s">
        <v>559</v>
      </c>
      <c r="C289" s="3" t="s">
        <v>16</v>
      </c>
      <c r="D289" s="3">
        <v>0.14</v>
      </c>
      <c r="E289" s="3" t="s">
        <v>17</v>
      </c>
      <c r="F289" s="3" t="s">
        <v>17</v>
      </c>
      <c r="G289" s="3" t="s">
        <v>25</v>
      </c>
      <c r="H289" s="3" t="str">
        <f t="shared" si="166"/>
        <v>0</v>
      </c>
      <c r="I289" s="3" t="str">
        <f t="shared" si="167"/>
        <v>0</v>
      </c>
      <c r="J289" s="3" t="str">
        <f>"7"</f>
        <v>7</v>
      </c>
      <c r="K289" s="3" t="str">
        <f>"3764.88"</f>
        <v>3764.88</v>
      </c>
      <c r="L289" s="3" t="str">
        <f>"2258.93"</f>
        <v>2258.93</v>
      </c>
      <c r="M289" s="3" t="str">
        <f t="shared" si="163"/>
        <v>20240516</v>
      </c>
      <c r="N289" s="3" t="s">
        <v>560</v>
      </c>
      <c r="O289" s="3"/>
    </row>
    <row r="290" spans="1:15">
      <c r="A290" s="3" t="str">
        <f>"661506213482300"</f>
        <v>661506213482300</v>
      </c>
      <c r="B290" s="3" t="s">
        <v>561</v>
      </c>
      <c r="C290" s="3"/>
      <c r="D290" s="3" t="str">
        <f t="shared" ref="D290:D301" si="168">"0"</f>
        <v>0</v>
      </c>
      <c r="E290" s="3" t="s">
        <v>17</v>
      </c>
      <c r="F290" s="3" t="s">
        <v>17</v>
      </c>
      <c r="G290" s="3" t="s">
        <v>140</v>
      </c>
      <c r="H290" s="3" t="str">
        <f t="shared" si="166"/>
        <v>0</v>
      </c>
      <c r="I290" s="3" t="str">
        <f t="shared" si="167"/>
        <v>0</v>
      </c>
      <c r="J290" s="3" t="str">
        <f>"12"</f>
        <v>12</v>
      </c>
      <c r="K290" s="3" t="str">
        <f>"7100.34"</f>
        <v>7100.34</v>
      </c>
      <c r="L290" s="3" t="str">
        <f>"4260.2"</f>
        <v>4260.2</v>
      </c>
      <c r="M290" s="3" t="str">
        <f t="shared" si="163"/>
        <v>20240516</v>
      </c>
      <c r="N290" s="3" t="s">
        <v>562</v>
      </c>
      <c r="O290" s="3"/>
    </row>
    <row r="291" spans="1:15">
      <c r="A291" s="3" t="str">
        <f>"661506213436700"</f>
        <v>661506213436700</v>
      </c>
      <c r="B291" s="3" t="s">
        <v>563</v>
      </c>
      <c r="C291" s="3" t="s">
        <v>16</v>
      </c>
      <c r="D291" s="3" t="str">
        <f t="shared" si="168"/>
        <v>0</v>
      </c>
      <c r="E291" s="3" t="s">
        <v>17</v>
      </c>
      <c r="F291" s="3" t="s">
        <v>17</v>
      </c>
      <c r="G291" s="3" t="s">
        <v>25</v>
      </c>
      <c r="H291" s="3" t="str">
        <f t="shared" si="166"/>
        <v>0</v>
      </c>
      <c r="I291" s="3" t="str">
        <f t="shared" si="167"/>
        <v>0</v>
      </c>
      <c r="J291" s="3" t="str">
        <f>"1"</f>
        <v>1</v>
      </c>
      <c r="K291" s="3" t="str">
        <f>"659.4"</f>
        <v>659.4</v>
      </c>
      <c r="L291" s="3" t="str">
        <f>"395.64"</f>
        <v>395.64</v>
      </c>
      <c r="M291" s="3" t="str">
        <f t="shared" si="163"/>
        <v>20240516</v>
      </c>
      <c r="N291" s="3" t="s">
        <v>564</v>
      </c>
      <c r="O291" s="3"/>
    </row>
    <row r="292" spans="1:15">
      <c r="A292" s="3" t="str">
        <f>"661506213433100"</f>
        <v>661506213433100</v>
      </c>
      <c r="B292" s="3" t="s">
        <v>565</v>
      </c>
      <c r="C292" s="3" t="s">
        <v>16</v>
      </c>
      <c r="D292" s="3" t="str">
        <f t="shared" si="168"/>
        <v>0</v>
      </c>
      <c r="E292" s="3" t="s">
        <v>17</v>
      </c>
      <c r="F292" s="3" t="s">
        <v>17</v>
      </c>
      <c r="G292" s="3" t="s">
        <v>18</v>
      </c>
      <c r="H292" s="3" t="str">
        <f t="shared" si="166"/>
        <v>0</v>
      </c>
      <c r="I292" s="3" t="str">
        <f t="shared" si="167"/>
        <v>0</v>
      </c>
      <c r="J292" s="3" t="str">
        <f>"6"</f>
        <v>6</v>
      </c>
      <c r="K292" s="3" t="str">
        <f>"3675.24"</f>
        <v>3675.24</v>
      </c>
      <c r="L292" s="3" t="str">
        <f>"2205.14"</f>
        <v>2205.14</v>
      </c>
      <c r="M292" s="3" t="str">
        <f t="shared" si="163"/>
        <v>20240516</v>
      </c>
      <c r="N292" s="3" t="str">
        <f>"911506215732871177"</f>
        <v>911506215732871177</v>
      </c>
      <c r="O292" s="3"/>
    </row>
    <row r="293" spans="1:15">
      <c r="A293" s="3" t="str">
        <f>"661506213428300"</f>
        <v>661506213428300</v>
      </c>
      <c r="B293" s="3" t="s">
        <v>566</v>
      </c>
      <c r="C293" s="3" t="s">
        <v>16</v>
      </c>
      <c r="D293" s="3" t="str">
        <f t="shared" si="168"/>
        <v>0</v>
      </c>
      <c r="E293" s="3" t="s">
        <v>17</v>
      </c>
      <c r="F293" s="3" t="s">
        <v>17</v>
      </c>
      <c r="G293" s="3" t="s">
        <v>25</v>
      </c>
      <c r="H293" s="3" t="str">
        <f t="shared" si="166"/>
        <v>0</v>
      </c>
      <c r="I293" s="3" t="str">
        <f t="shared" si="167"/>
        <v>0</v>
      </c>
      <c r="J293" s="3" t="str">
        <f>"3"</f>
        <v>3</v>
      </c>
      <c r="K293" s="3" t="str">
        <f>"1982.08"</f>
        <v>1982.08</v>
      </c>
      <c r="L293" s="3" t="str">
        <f>"1189.25"</f>
        <v>1189.25</v>
      </c>
      <c r="M293" s="3" t="str">
        <f t="shared" si="163"/>
        <v>20240516</v>
      </c>
      <c r="N293" s="3" t="str">
        <f>"911506216743536036"</f>
        <v>911506216743536036</v>
      </c>
      <c r="O293" s="3"/>
    </row>
    <row r="294" spans="1:15">
      <c r="A294" s="3" t="str">
        <f>"661506213406500"</f>
        <v>661506213406500</v>
      </c>
      <c r="B294" s="3" t="s">
        <v>567</v>
      </c>
      <c r="C294" s="3" t="s">
        <v>16</v>
      </c>
      <c r="D294" s="3" t="str">
        <f t="shared" si="168"/>
        <v>0</v>
      </c>
      <c r="E294" s="3" t="s">
        <v>17</v>
      </c>
      <c r="F294" s="3" t="s">
        <v>17</v>
      </c>
      <c r="G294" s="3" t="s">
        <v>25</v>
      </c>
      <c r="H294" s="3" t="str">
        <f t="shared" si="166"/>
        <v>0</v>
      </c>
      <c r="I294" s="3" t="str">
        <f t="shared" si="167"/>
        <v>0</v>
      </c>
      <c r="J294" s="3" t="str">
        <f>"4"</f>
        <v>4</v>
      </c>
      <c r="K294" s="3" t="str">
        <f>"2400.64"</f>
        <v>2400.64</v>
      </c>
      <c r="L294" s="3" t="str">
        <f>"1440.38"</f>
        <v>1440.38</v>
      </c>
      <c r="M294" s="3" t="str">
        <f t="shared" si="163"/>
        <v>20240516</v>
      </c>
      <c r="N294" s="3" t="s">
        <v>568</v>
      </c>
      <c r="O294" s="3"/>
    </row>
    <row r="295" spans="1:15">
      <c r="A295" s="3" t="str">
        <f>"661506213404600"</f>
        <v>661506213404600</v>
      </c>
      <c r="B295" s="3" t="s">
        <v>569</v>
      </c>
      <c r="C295" s="3" t="s">
        <v>16</v>
      </c>
      <c r="D295" s="3" t="str">
        <f t="shared" si="168"/>
        <v>0</v>
      </c>
      <c r="E295" s="3" t="s">
        <v>17</v>
      </c>
      <c r="F295" s="3" t="s">
        <v>17</v>
      </c>
      <c r="G295" s="3" t="s">
        <v>25</v>
      </c>
      <c r="H295" s="3" t="str">
        <f t="shared" si="166"/>
        <v>0</v>
      </c>
      <c r="I295" s="3" t="str">
        <f t="shared" si="167"/>
        <v>0</v>
      </c>
      <c r="J295" s="3" t="str">
        <f>"1"</f>
        <v>1</v>
      </c>
      <c r="K295" s="3" t="str">
        <f>"737.76"</f>
        <v>737.76</v>
      </c>
      <c r="L295" s="3" t="str">
        <f>"442.66"</f>
        <v>442.66</v>
      </c>
      <c r="M295" s="3" t="str">
        <f t="shared" si="163"/>
        <v>20240516</v>
      </c>
      <c r="N295" s="3" t="s">
        <v>570</v>
      </c>
      <c r="O295" s="3"/>
    </row>
    <row r="296" spans="1:15">
      <c r="A296" s="3" t="str">
        <f>"661506213394500"</f>
        <v>661506213394500</v>
      </c>
      <c r="B296" s="3" t="s">
        <v>571</v>
      </c>
      <c r="C296" s="3" t="s">
        <v>16</v>
      </c>
      <c r="D296" s="3" t="str">
        <f t="shared" si="168"/>
        <v>0</v>
      </c>
      <c r="E296" s="3" t="s">
        <v>17</v>
      </c>
      <c r="F296" s="3" t="s">
        <v>17</v>
      </c>
      <c r="G296" s="3" t="s">
        <v>18</v>
      </c>
      <c r="H296" s="3" t="str">
        <f t="shared" si="166"/>
        <v>0</v>
      </c>
      <c r="I296" s="3" t="str">
        <f t="shared" si="167"/>
        <v>0</v>
      </c>
      <c r="J296" s="3" t="str">
        <f>"4"</f>
        <v>4</v>
      </c>
      <c r="K296" s="3" t="str">
        <f>"2151.36"</f>
        <v>2151.36</v>
      </c>
      <c r="L296" s="3" t="str">
        <f>"1290.82"</f>
        <v>1290.82</v>
      </c>
      <c r="M296" s="3" t="str">
        <f t="shared" si="163"/>
        <v>20240516</v>
      </c>
      <c r="N296" s="3" t="s">
        <v>572</v>
      </c>
      <c r="O296" s="3"/>
    </row>
    <row r="297" spans="1:15">
      <c r="A297" s="3" t="str">
        <f>"661506213386500"</f>
        <v>661506213386500</v>
      </c>
      <c r="B297" s="3" t="s">
        <v>573</v>
      </c>
      <c r="C297" s="3" t="s">
        <v>16</v>
      </c>
      <c r="D297" s="3" t="str">
        <f t="shared" si="168"/>
        <v>0</v>
      </c>
      <c r="E297" s="3" t="s">
        <v>17</v>
      </c>
      <c r="F297" s="3" t="s">
        <v>17</v>
      </c>
      <c r="G297" s="3" t="s">
        <v>140</v>
      </c>
      <c r="H297" s="3" t="str">
        <f t="shared" si="166"/>
        <v>0</v>
      </c>
      <c r="I297" s="3" t="str">
        <f t="shared" si="167"/>
        <v>0</v>
      </c>
      <c r="J297" s="3" t="str">
        <f>"124"</f>
        <v>124</v>
      </c>
      <c r="K297" s="3" t="str">
        <f>"115308.48"</f>
        <v>115308.48</v>
      </c>
      <c r="L297" s="3" t="str">
        <f>"69185.09"</f>
        <v>69185.09</v>
      </c>
      <c r="M297" s="3" t="str">
        <f t="shared" si="163"/>
        <v>20240516</v>
      </c>
      <c r="N297" s="3" t="s">
        <v>574</v>
      </c>
      <c r="O297" s="3"/>
    </row>
    <row r="298" spans="1:15">
      <c r="A298" s="3" t="str">
        <f>"661506213330300"</f>
        <v>661506213330300</v>
      </c>
      <c r="B298" s="3" t="s">
        <v>575</v>
      </c>
      <c r="C298" s="3" t="s">
        <v>16</v>
      </c>
      <c r="D298" s="3" t="str">
        <f t="shared" si="168"/>
        <v>0</v>
      </c>
      <c r="E298" s="3" t="s">
        <v>17</v>
      </c>
      <c r="F298" s="3" t="s">
        <v>17</v>
      </c>
      <c r="G298" s="3" t="s">
        <v>25</v>
      </c>
      <c r="H298" s="3" t="str">
        <f t="shared" si="166"/>
        <v>0</v>
      </c>
      <c r="I298" s="3" t="str">
        <f t="shared" si="167"/>
        <v>0</v>
      </c>
      <c r="J298" s="3" t="str">
        <f>"2"</f>
        <v>2</v>
      </c>
      <c r="K298" s="3" t="str">
        <f>"1091.5"</f>
        <v>1091.5</v>
      </c>
      <c r="L298" s="3" t="str">
        <f>"654.9"</f>
        <v>654.9</v>
      </c>
      <c r="M298" s="3" t="str">
        <f t="shared" si="163"/>
        <v>20240516</v>
      </c>
      <c r="N298" s="3" t="s">
        <v>576</v>
      </c>
      <c r="O298" s="3"/>
    </row>
    <row r="299" spans="1:15">
      <c r="A299" s="3" t="str">
        <f>"661506213320500"</f>
        <v>661506213320500</v>
      </c>
      <c r="B299" s="3" t="s">
        <v>577</v>
      </c>
      <c r="C299" s="3" t="s">
        <v>16</v>
      </c>
      <c r="D299" s="3" t="str">
        <f t="shared" si="168"/>
        <v>0</v>
      </c>
      <c r="E299" s="3" t="s">
        <v>17</v>
      </c>
      <c r="F299" s="3" t="s">
        <v>17</v>
      </c>
      <c r="G299" s="3" t="s">
        <v>18</v>
      </c>
      <c r="H299" s="3" t="str">
        <f t="shared" si="166"/>
        <v>0</v>
      </c>
      <c r="I299" s="3" t="str">
        <f t="shared" si="167"/>
        <v>0</v>
      </c>
      <c r="J299" s="3" t="str">
        <f>"8"</f>
        <v>8</v>
      </c>
      <c r="K299" s="3" t="str">
        <f>"5486.3"</f>
        <v>5486.3</v>
      </c>
      <c r="L299" s="3" t="str">
        <f>"3291.78"</f>
        <v>3291.78</v>
      </c>
      <c r="M299" s="3" t="str">
        <f t="shared" si="163"/>
        <v>20240516</v>
      </c>
      <c r="N299" s="3" t="s">
        <v>578</v>
      </c>
      <c r="O299" s="3"/>
    </row>
    <row r="300" spans="1:15">
      <c r="A300" s="3" t="str">
        <f>"661506213246300"</f>
        <v>661506213246300</v>
      </c>
      <c r="B300" s="3" t="s">
        <v>579</v>
      </c>
      <c r="C300" s="3" t="s">
        <v>16</v>
      </c>
      <c r="D300" s="3" t="str">
        <f t="shared" si="168"/>
        <v>0</v>
      </c>
      <c r="E300" s="3" t="s">
        <v>17</v>
      </c>
      <c r="F300" s="3" t="s">
        <v>17</v>
      </c>
      <c r="G300" s="3" t="s">
        <v>18</v>
      </c>
      <c r="H300" s="3" t="str">
        <f t="shared" si="166"/>
        <v>0</v>
      </c>
      <c r="I300" s="3" t="str">
        <f t="shared" si="167"/>
        <v>0</v>
      </c>
      <c r="J300" s="3" t="str">
        <f>"27"</f>
        <v>27</v>
      </c>
      <c r="K300" s="3" t="str">
        <f>"19121.72"</f>
        <v>19121.72</v>
      </c>
      <c r="L300" s="3" t="str">
        <f>"11473.03"</f>
        <v>11473.03</v>
      </c>
      <c r="M300" s="3" t="str">
        <f t="shared" si="163"/>
        <v>20240516</v>
      </c>
      <c r="N300" s="3" t="s">
        <v>580</v>
      </c>
      <c r="O300" s="3"/>
    </row>
    <row r="301" spans="1:15">
      <c r="A301" s="3" t="str">
        <f>"661506213202500"</f>
        <v>661506213202500</v>
      </c>
      <c r="B301" s="3" t="s">
        <v>581</v>
      </c>
      <c r="C301" s="3" t="s">
        <v>16</v>
      </c>
      <c r="D301" s="3" t="str">
        <f t="shared" si="168"/>
        <v>0</v>
      </c>
      <c r="E301" s="3" t="s">
        <v>17</v>
      </c>
      <c r="F301" s="3" t="s">
        <v>17</v>
      </c>
      <c r="G301" s="3" t="s">
        <v>25</v>
      </c>
      <c r="H301" s="3" t="str">
        <f t="shared" si="166"/>
        <v>0</v>
      </c>
      <c r="I301" s="3" t="str">
        <f t="shared" si="167"/>
        <v>0</v>
      </c>
      <c r="J301" s="3" t="str">
        <f>"8"</f>
        <v>8</v>
      </c>
      <c r="K301" s="3" t="str">
        <f>"5921.98"</f>
        <v>5921.98</v>
      </c>
      <c r="L301" s="3" t="str">
        <f>"3553.19"</f>
        <v>3553.19</v>
      </c>
      <c r="M301" s="3" t="str">
        <f t="shared" si="163"/>
        <v>20240516</v>
      </c>
      <c r="N301" s="3" t="s">
        <v>582</v>
      </c>
      <c r="O301" s="3"/>
    </row>
    <row r="302" spans="1:15">
      <c r="A302" s="3" t="str">
        <f>"661506213178300"</f>
        <v>661506213178300</v>
      </c>
      <c r="B302" s="3" t="s">
        <v>583</v>
      </c>
      <c r="C302" s="3" t="s">
        <v>16</v>
      </c>
      <c r="D302" s="3">
        <v>0.08</v>
      </c>
      <c r="E302" s="3" t="s">
        <v>17</v>
      </c>
      <c r="F302" s="3" t="s">
        <v>17</v>
      </c>
      <c r="G302" s="3" t="s">
        <v>25</v>
      </c>
      <c r="H302" s="3" t="str">
        <f t="shared" si="166"/>
        <v>0</v>
      </c>
      <c r="I302" s="3" t="str">
        <f t="shared" si="167"/>
        <v>0</v>
      </c>
      <c r="J302" s="3" t="str">
        <f>"13"</f>
        <v>13</v>
      </c>
      <c r="K302" s="3" t="str">
        <f>"7436.32"</f>
        <v>7436.32</v>
      </c>
      <c r="L302" s="3" t="str">
        <f>"4461.79"</f>
        <v>4461.79</v>
      </c>
      <c r="M302" s="3" t="str">
        <f t="shared" si="163"/>
        <v>20240516</v>
      </c>
      <c r="N302" s="3" t="s">
        <v>584</v>
      </c>
      <c r="O302" s="3"/>
    </row>
    <row r="303" spans="1:14">
      <c r="A303" s="3" t="str">
        <f>"661506213170500"</f>
        <v>661506213170500</v>
      </c>
      <c r="B303" s="3" t="s">
        <v>585</v>
      </c>
      <c r="C303" s="3" t="s">
        <v>16</v>
      </c>
      <c r="D303" s="3" t="str">
        <f t="shared" ref="D303:D308" si="169">"0"</f>
        <v>0</v>
      </c>
      <c r="E303" s="3" t="s">
        <v>17</v>
      </c>
      <c r="F303" s="3" t="s">
        <v>17</v>
      </c>
      <c r="G303" s="3" t="s">
        <v>18</v>
      </c>
      <c r="H303" s="3" t="str">
        <f t="shared" si="166"/>
        <v>0</v>
      </c>
      <c r="I303" s="3" t="str">
        <f t="shared" si="167"/>
        <v>0</v>
      </c>
      <c r="J303" s="3" t="str">
        <f t="shared" ref="J303:J307" si="170">"3"</f>
        <v>3</v>
      </c>
      <c r="K303" s="3" t="str">
        <f>"1800"</f>
        <v>1800</v>
      </c>
      <c r="L303" s="3" t="str">
        <f>"1080"</f>
        <v>1080</v>
      </c>
      <c r="M303" s="3" t="str">
        <f t="shared" si="163"/>
        <v>20240516</v>
      </c>
      <c r="N303" s="3" t="s">
        <v>586</v>
      </c>
    </row>
    <row r="304" spans="1:14">
      <c r="A304" s="3" t="str">
        <f>"661506213164600"</f>
        <v>661506213164600</v>
      </c>
      <c r="B304" s="3" t="s">
        <v>587</v>
      </c>
      <c r="C304" s="3" t="s">
        <v>16</v>
      </c>
      <c r="D304" s="3" t="str">
        <f t="shared" si="169"/>
        <v>0</v>
      </c>
      <c r="E304" s="3" t="s">
        <v>17</v>
      </c>
      <c r="F304" s="3" t="s">
        <v>17</v>
      </c>
      <c r="G304" s="3" t="s">
        <v>18</v>
      </c>
      <c r="H304" s="3" t="str">
        <f t="shared" si="166"/>
        <v>0</v>
      </c>
      <c r="I304" s="3" t="str">
        <f t="shared" si="167"/>
        <v>0</v>
      </c>
      <c r="J304" s="3" t="str">
        <f>"1"</f>
        <v>1</v>
      </c>
      <c r="K304" s="3" t="str">
        <f>"1100"</f>
        <v>1100</v>
      </c>
      <c r="L304" s="3" t="str">
        <f>"660"</f>
        <v>660</v>
      </c>
      <c r="M304" s="3" t="str">
        <f t="shared" si="163"/>
        <v>20240516</v>
      </c>
      <c r="N304" s="3" t="s">
        <v>588</v>
      </c>
    </row>
    <row r="305" spans="1:14">
      <c r="A305" s="3" t="str">
        <f>"661506213120500"</f>
        <v>661506213120500</v>
      </c>
      <c r="B305" s="3" t="s">
        <v>589</v>
      </c>
      <c r="C305" s="3" t="s">
        <v>16</v>
      </c>
      <c r="D305" s="3" t="str">
        <f t="shared" si="169"/>
        <v>0</v>
      </c>
      <c r="E305" s="3" t="s">
        <v>17</v>
      </c>
      <c r="F305" s="3" t="s">
        <v>17</v>
      </c>
      <c r="G305" s="3" t="s">
        <v>25</v>
      </c>
      <c r="H305" s="3" t="str">
        <f t="shared" si="166"/>
        <v>0</v>
      </c>
      <c r="I305" s="3" t="str">
        <f t="shared" si="167"/>
        <v>0</v>
      </c>
      <c r="J305" s="3" t="str">
        <f>"10"</f>
        <v>10</v>
      </c>
      <c r="K305" s="3" t="str">
        <f>"5864.7"</f>
        <v>5864.7</v>
      </c>
      <c r="L305" s="3" t="str">
        <f>"3518.82"</f>
        <v>3518.82</v>
      </c>
      <c r="M305" s="3" t="str">
        <f t="shared" si="163"/>
        <v>20240516</v>
      </c>
      <c r="N305" s="3" t="s">
        <v>590</v>
      </c>
    </row>
    <row r="306" spans="1:14">
      <c r="A306" s="3" t="str">
        <f>"661506213050700"</f>
        <v>661506213050700</v>
      </c>
      <c r="B306" s="3" t="s">
        <v>591</v>
      </c>
      <c r="C306" s="3" t="s">
        <v>16</v>
      </c>
      <c r="D306" s="3" t="str">
        <f t="shared" si="169"/>
        <v>0</v>
      </c>
      <c r="E306" s="3" t="s">
        <v>17</v>
      </c>
      <c r="F306" s="3" t="s">
        <v>17</v>
      </c>
      <c r="G306" s="3" t="s">
        <v>25</v>
      </c>
      <c r="H306" s="3" t="str">
        <f t="shared" si="166"/>
        <v>0</v>
      </c>
      <c r="I306" s="3" t="str">
        <f t="shared" si="167"/>
        <v>0</v>
      </c>
      <c r="J306" s="3" t="str">
        <f t="shared" si="170"/>
        <v>3</v>
      </c>
      <c r="K306" s="3" t="str">
        <f>"2178"</f>
        <v>2178</v>
      </c>
      <c r="L306" s="3" t="str">
        <f>"1306.8"</f>
        <v>1306.8</v>
      </c>
      <c r="M306" s="3" t="str">
        <f t="shared" si="163"/>
        <v>20240516</v>
      </c>
      <c r="N306" s="3" t="s">
        <v>592</v>
      </c>
    </row>
    <row r="307" spans="1:14">
      <c r="A307" s="3" t="str">
        <f>"661506213046500"</f>
        <v>661506213046500</v>
      </c>
      <c r="B307" s="3" t="s">
        <v>593</v>
      </c>
      <c r="C307" s="3" t="s">
        <v>16</v>
      </c>
      <c r="D307" s="3" t="str">
        <f t="shared" si="169"/>
        <v>0</v>
      </c>
      <c r="E307" s="3" t="s">
        <v>17</v>
      </c>
      <c r="F307" s="3" t="s">
        <v>17</v>
      </c>
      <c r="G307" s="3" t="s">
        <v>25</v>
      </c>
      <c r="H307" s="3" t="str">
        <f t="shared" si="166"/>
        <v>0</v>
      </c>
      <c r="I307" s="3" t="str">
        <f t="shared" si="167"/>
        <v>0</v>
      </c>
      <c r="J307" s="3" t="str">
        <f t="shared" si="170"/>
        <v>3</v>
      </c>
      <c r="K307" s="3" t="str">
        <f>"1613.52"</f>
        <v>1613.52</v>
      </c>
      <c r="L307" s="3" t="str">
        <f>"968.11"</f>
        <v>968.11</v>
      </c>
      <c r="M307" s="3" t="str">
        <f t="shared" si="163"/>
        <v>20240516</v>
      </c>
      <c r="N307" s="3" t="str">
        <f>"911506215919589145"</f>
        <v>911506215919589145</v>
      </c>
    </row>
    <row r="308" spans="1:14">
      <c r="A308" s="3" t="str">
        <f>"661506213027850"</f>
        <v>661506213027850</v>
      </c>
      <c r="B308" s="3" t="s">
        <v>594</v>
      </c>
      <c r="C308" s="3" t="s">
        <v>16</v>
      </c>
      <c r="D308" s="3" t="str">
        <f t="shared" si="169"/>
        <v>0</v>
      </c>
      <c r="E308" s="3" t="s">
        <v>17</v>
      </c>
      <c r="F308" s="3" t="s">
        <v>17</v>
      </c>
      <c r="G308" s="3" t="s">
        <v>18</v>
      </c>
      <c r="H308" s="3" t="str">
        <f t="shared" si="166"/>
        <v>0</v>
      </c>
      <c r="I308" s="3" t="str">
        <f t="shared" si="167"/>
        <v>0</v>
      </c>
      <c r="J308" s="3" t="str">
        <f>"8"</f>
        <v>8</v>
      </c>
      <c r="K308" s="3" t="str">
        <f>"7889.54"</f>
        <v>7889.54</v>
      </c>
      <c r="L308" s="3" t="str">
        <f>"4733.72"</f>
        <v>4733.72</v>
      </c>
      <c r="M308" s="3" t="str">
        <f t="shared" si="163"/>
        <v>20240516</v>
      </c>
      <c r="N308" s="3" t="s">
        <v>595</v>
      </c>
    </row>
    <row r="309" spans="1:14">
      <c r="A309" s="3" t="str">
        <f>"661506213027753"</f>
        <v>661506213027753</v>
      </c>
      <c r="B309" s="3" t="s">
        <v>596</v>
      </c>
      <c r="C309" s="3" t="s">
        <v>16</v>
      </c>
      <c r="D309" s="3">
        <v>0.03</v>
      </c>
      <c r="E309" s="3" t="s">
        <v>17</v>
      </c>
      <c r="F309" s="3" t="s">
        <v>17</v>
      </c>
      <c r="G309" s="3" t="s">
        <v>18</v>
      </c>
      <c r="H309" s="3" t="str">
        <f t="shared" si="166"/>
        <v>0</v>
      </c>
      <c r="I309" s="3" t="str">
        <f t="shared" si="167"/>
        <v>0</v>
      </c>
      <c r="J309" s="3" t="str">
        <f>"38"</f>
        <v>38</v>
      </c>
      <c r="K309" s="3" t="str">
        <f>"21267.3"</f>
        <v>21267.3</v>
      </c>
      <c r="L309" s="3" t="str">
        <f>"12760.38"</f>
        <v>12760.38</v>
      </c>
      <c r="M309" s="3" t="str">
        <f t="shared" si="163"/>
        <v>20240516</v>
      </c>
      <c r="N309" s="3" t="str">
        <f>"911506217610653001"</f>
        <v>911506217610653001</v>
      </c>
    </row>
    <row r="310" spans="1:14">
      <c r="A310" s="3" t="str">
        <f>"661506213027752"</f>
        <v>661506213027752</v>
      </c>
      <c r="B310" s="3" t="s">
        <v>597</v>
      </c>
      <c r="C310" s="3" t="s">
        <v>16</v>
      </c>
      <c r="D310" s="3">
        <v>0.02</v>
      </c>
      <c r="E310" s="3" t="s">
        <v>17</v>
      </c>
      <c r="F310" s="3" t="s">
        <v>17</v>
      </c>
      <c r="G310" s="3" t="s">
        <v>18</v>
      </c>
      <c r="H310" s="3" t="str">
        <f t="shared" si="166"/>
        <v>0</v>
      </c>
      <c r="I310" s="3" t="str">
        <f t="shared" si="167"/>
        <v>0</v>
      </c>
      <c r="J310" s="3" t="str">
        <f>"64"</f>
        <v>64</v>
      </c>
      <c r="K310" s="3" t="str">
        <f>"36349.12"</f>
        <v>36349.12</v>
      </c>
      <c r="L310" s="3" t="str">
        <f>"21809.47"</f>
        <v>21809.47</v>
      </c>
      <c r="M310" s="3" t="str">
        <f t="shared" si="163"/>
        <v>20240516</v>
      </c>
      <c r="N310" s="3" t="s">
        <v>598</v>
      </c>
    </row>
    <row r="311" spans="1:14">
      <c r="A311" s="3" t="str">
        <f>"661506213027651"</f>
        <v>661506213027651</v>
      </c>
      <c r="B311" s="3" t="s">
        <v>599</v>
      </c>
      <c r="C311" s="3" t="s">
        <v>16</v>
      </c>
      <c r="D311" s="3" t="str">
        <f t="shared" ref="D311:D324" si="171">"0"</f>
        <v>0</v>
      </c>
      <c r="E311" s="3" t="s">
        <v>17</v>
      </c>
      <c r="F311" s="3" t="s">
        <v>17</v>
      </c>
      <c r="G311" s="3" t="s">
        <v>18</v>
      </c>
      <c r="H311" s="3" t="str">
        <f t="shared" si="166"/>
        <v>0</v>
      </c>
      <c r="I311" s="3" t="str">
        <f t="shared" si="167"/>
        <v>0</v>
      </c>
      <c r="J311" s="3" t="str">
        <f>"61"</f>
        <v>61</v>
      </c>
      <c r="K311" s="3" t="str">
        <f>"55285.4"</f>
        <v>55285.4</v>
      </c>
      <c r="L311" s="3" t="str">
        <f>"33171.24"</f>
        <v>33171.24</v>
      </c>
      <c r="M311" s="3" t="str">
        <f t="shared" si="163"/>
        <v>20240516</v>
      </c>
      <c r="N311" s="3" t="s">
        <v>600</v>
      </c>
    </row>
    <row r="312" spans="1:14">
      <c r="A312" s="3" t="str">
        <f>"661506212934600"</f>
        <v>661506212934600</v>
      </c>
      <c r="B312" s="3" t="s">
        <v>601</v>
      </c>
      <c r="C312" s="3" t="s">
        <v>16</v>
      </c>
      <c r="D312" s="3">
        <v>0.11</v>
      </c>
      <c r="E312" s="3" t="s">
        <v>17</v>
      </c>
      <c r="F312" s="3" t="s">
        <v>17</v>
      </c>
      <c r="G312" s="3" t="s">
        <v>25</v>
      </c>
      <c r="H312" s="3" t="str">
        <f t="shared" si="166"/>
        <v>0</v>
      </c>
      <c r="I312" s="3" t="str">
        <f t="shared" si="167"/>
        <v>0</v>
      </c>
      <c r="J312" s="3" t="str">
        <f>"9"</f>
        <v>9</v>
      </c>
      <c r="K312" s="3" t="str">
        <f>"10378.28"</f>
        <v>10378.28</v>
      </c>
      <c r="L312" s="3" t="str">
        <f>"6226.97"</f>
        <v>6226.97</v>
      </c>
      <c r="M312" s="3" t="str">
        <f t="shared" si="163"/>
        <v>20240516</v>
      </c>
      <c r="N312" s="3" t="s">
        <v>602</v>
      </c>
    </row>
    <row r="313" spans="1:14">
      <c r="A313" s="3" t="str">
        <f>"661506212886500"</f>
        <v>661506212886500</v>
      </c>
      <c r="B313" s="3" t="s">
        <v>603</v>
      </c>
      <c r="C313" s="3" t="s">
        <v>16</v>
      </c>
      <c r="D313" s="3" t="str">
        <f t="shared" si="171"/>
        <v>0</v>
      </c>
      <c r="E313" s="3" t="s">
        <v>17</v>
      </c>
      <c r="F313" s="3" t="s">
        <v>17</v>
      </c>
      <c r="G313" s="3" t="s">
        <v>25</v>
      </c>
      <c r="H313" s="3" t="str">
        <f t="shared" si="166"/>
        <v>0</v>
      </c>
      <c r="I313" s="3" t="str">
        <f t="shared" si="167"/>
        <v>0</v>
      </c>
      <c r="J313" s="3" t="str">
        <f>"2"</f>
        <v>2</v>
      </c>
      <c r="K313" s="3" t="str">
        <f>"1075.68"</f>
        <v>1075.68</v>
      </c>
      <c r="L313" s="3" t="str">
        <f>"645.41"</f>
        <v>645.41</v>
      </c>
      <c r="M313" s="3" t="str">
        <f t="shared" si="163"/>
        <v>20240516</v>
      </c>
      <c r="N313" s="3" t="s">
        <v>604</v>
      </c>
    </row>
    <row r="314" spans="1:14">
      <c r="A314" s="3" t="str">
        <f>"661506212874700"</f>
        <v>661506212874700</v>
      </c>
      <c r="B314" s="3" t="s">
        <v>605</v>
      </c>
      <c r="C314" s="3" t="s">
        <v>16</v>
      </c>
      <c r="D314" s="3" t="str">
        <f t="shared" si="171"/>
        <v>0</v>
      </c>
      <c r="E314" s="3" t="s">
        <v>17</v>
      </c>
      <c r="F314" s="3" t="s">
        <v>17</v>
      </c>
      <c r="G314" s="3" t="s">
        <v>25</v>
      </c>
      <c r="H314" s="3" t="str">
        <f t="shared" si="166"/>
        <v>0</v>
      </c>
      <c r="I314" s="3" t="str">
        <f t="shared" si="167"/>
        <v>0</v>
      </c>
      <c r="J314" s="3" t="str">
        <f>"2"</f>
        <v>2</v>
      </c>
      <c r="K314" s="3" t="str">
        <f>"1210.14"</f>
        <v>1210.14</v>
      </c>
      <c r="L314" s="3" t="str">
        <f>"726.08"</f>
        <v>726.08</v>
      </c>
      <c r="M314" s="3" t="str">
        <f t="shared" si="163"/>
        <v>20240516</v>
      </c>
      <c r="N314" s="3" t="s">
        <v>606</v>
      </c>
    </row>
    <row r="315" spans="1:14">
      <c r="A315" s="3" t="str">
        <f>"661506212860600"</f>
        <v>661506212860600</v>
      </c>
      <c r="B315" s="3" t="s">
        <v>607</v>
      </c>
      <c r="C315" s="3" t="s">
        <v>16</v>
      </c>
      <c r="D315" s="3" t="str">
        <f t="shared" si="171"/>
        <v>0</v>
      </c>
      <c r="E315" s="3" t="s">
        <v>17</v>
      </c>
      <c r="F315" s="3" t="s">
        <v>17</v>
      </c>
      <c r="G315" s="3" t="s">
        <v>25</v>
      </c>
      <c r="H315" s="3" t="str">
        <f t="shared" si="166"/>
        <v>0</v>
      </c>
      <c r="I315" s="3" t="str">
        <f t="shared" si="167"/>
        <v>0</v>
      </c>
      <c r="J315" s="3" t="str">
        <f>"5"</f>
        <v>5</v>
      </c>
      <c r="K315" s="3" t="str">
        <f>"5068.24"</f>
        <v>5068.24</v>
      </c>
      <c r="L315" s="3" t="str">
        <f>"3040.94"</f>
        <v>3040.94</v>
      </c>
      <c r="M315" s="3" t="str">
        <f t="shared" si="163"/>
        <v>20240516</v>
      </c>
      <c r="N315" s="3" t="s">
        <v>608</v>
      </c>
    </row>
    <row r="316" spans="1:14">
      <c r="A316" s="3" t="str">
        <f>"661506212860500"</f>
        <v>661506212860500</v>
      </c>
      <c r="B316" s="3" t="s">
        <v>609</v>
      </c>
      <c r="C316" s="3"/>
      <c r="D316" s="3" t="str">
        <f t="shared" si="171"/>
        <v>0</v>
      </c>
      <c r="E316" s="3" t="s">
        <v>17</v>
      </c>
      <c r="F316" s="3" t="s">
        <v>17</v>
      </c>
      <c r="G316" s="3" t="s">
        <v>25</v>
      </c>
      <c r="H316" s="3" t="str">
        <f t="shared" si="166"/>
        <v>0</v>
      </c>
      <c r="I316" s="3" t="str">
        <f t="shared" si="167"/>
        <v>0</v>
      </c>
      <c r="J316" s="3" t="str">
        <f>"11"</f>
        <v>11</v>
      </c>
      <c r="K316" s="3" t="str">
        <f>"8941.62"</f>
        <v>8941.62</v>
      </c>
      <c r="L316" s="3" t="str">
        <f>"5364.97"</f>
        <v>5364.97</v>
      </c>
      <c r="M316" s="3" t="str">
        <f t="shared" si="163"/>
        <v>20240516</v>
      </c>
      <c r="N316" s="3" t="s">
        <v>610</v>
      </c>
    </row>
    <row r="317" spans="1:14">
      <c r="A317" s="3" t="str">
        <f>"661506212756600"</f>
        <v>661506212756600</v>
      </c>
      <c r="B317" s="3" t="s">
        <v>611</v>
      </c>
      <c r="C317" s="3" t="s">
        <v>16</v>
      </c>
      <c r="D317" s="3" t="str">
        <f t="shared" si="171"/>
        <v>0</v>
      </c>
      <c r="E317" s="3" t="s">
        <v>17</v>
      </c>
      <c r="F317" s="3" t="s">
        <v>17</v>
      </c>
      <c r="G317" s="3" t="s">
        <v>25</v>
      </c>
      <c r="H317" s="3" t="str">
        <f t="shared" si="166"/>
        <v>0</v>
      </c>
      <c r="I317" s="3" t="str">
        <f t="shared" si="167"/>
        <v>0</v>
      </c>
      <c r="J317" s="3" t="str">
        <f>"1"</f>
        <v>1</v>
      </c>
      <c r="K317" s="3" t="str">
        <f>"600"</f>
        <v>600</v>
      </c>
      <c r="L317" s="3" t="str">
        <f>"360"</f>
        <v>360</v>
      </c>
      <c r="M317" s="3" t="str">
        <f t="shared" si="163"/>
        <v>20240516</v>
      </c>
      <c r="N317" s="3" t="s">
        <v>612</v>
      </c>
    </row>
    <row r="318" spans="1:14">
      <c r="A318" s="3" t="str">
        <f>"661506212748800"</f>
        <v>661506212748800</v>
      </c>
      <c r="B318" s="3" t="s">
        <v>613</v>
      </c>
      <c r="C318" s="3" t="s">
        <v>16</v>
      </c>
      <c r="D318" s="3" t="str">
        <f t="shared" si="171"/>
        <v>0</v>
      </c>
      <c r="E318" s="3" t="s">
        <v>17</v>
      </c>
      <c r="F318" s="3" t="s">
        <v>17</v>
      </c>
      <c r="G318" s="3" t="s">
        <v>25</v>
      </c>
      <c r="H318" s="3" t="str">
        <f t="shared" si="166"/>
        <v>0</v>
      </c>
      <c r="I318" s="3" t="str">
        <f t="shared" si="167"/>
        <v>0</v>
      </c>
      <c r="J318" s="3" t="str">
        <f>"8"</f>
        <v>8</v>
      </c>
      <c r="K318" s="3" t="str">
        <f>"6271.5"</f>
        <v>6271.5</v>
      </c>
      <c r="L318" s="3" t="str">
        <f>"3762.9"</f>
        <v>3762.9</v>
      </c>
      <c r="M318" s="3" t="str">
        <f t="shared" si="163"/>
        <v>20240516</v>
      </c>
      <c r="N318" s="3" t="str">
        <f>"911506223413340685"</f>
        <v>911506223413340685</v>
      </c>
    </row>
    <row r="319" spans="1:14">
      <c r="A319" s="3" t="str">
        <f>"661506212660300"</f>
        <v>661506212660300</v>
      </c>
      <c r="B319" s="3" t="s">
        <v>614</v>
      </c>
      <c r="C319" s="3" t="s">
        <v>16</v>
      </c>
      <c r="D319" s="3" t="str">
        <f t="shared" si="171"/>
        <v>0</v>
      </c>
      <c r="E319" s="3" t="s">
        <v>17</v>
      </c>
      <c r="F319" s="3" t="s">
        <v>17</v>
      </c>
      <c r="G319" s="3" t="s">
        <v>140</v>
      </c>
      <c r="H319" s="3" t="str">
        <f t="shared" si="166"/>
        <v>0</v>
      </c>
      <c r="I319" s="3" t="str">
        <f t="shared" si="167"/>
        <v>0</v>
      </c>
      <c r="J319" s="3" t="str">
        <f>"136"</f>
        <v>136</v>
      </c>
      <c r="K319" s="3" t="str">
        <f>"95014.06"</f>
        <v>95014.06</v>
      </c>
      <c r="L319" s="3" t="str">
        <f>"57008.44"</f>
        <v>57008.44</v>
      </c>
      <c r="M319" s="3" t="str">
        <f t="shared" si="163"/>
        <v>20240516</v>
      </c>
      <c r="N319" s="3" t="s">
        <v>615</v>
      </c>
    </row>
    <row r="320" spans="1:14">
      <c r="A320" s="3" t="str">
        <f>"661506212654300"</f>
        <v>661506212654300</v>
      </c>
      <c r="B320" s="3" t="s">
        <v>616</v>
      </c>
      <c r="C320" s="3" t="s">
        <v>16</v>
      </c>
      <c r="D320" s="3" t="str">
        <f t="shared" si="171"/>
        <v>0</v>
      </c>
      <c r="E320" s="3" t="s">
        <v>17</v>
      </c>
      <c r="F320" s="3" t="s">
        <v>17</v>
      </c>
      <c r="G320" s="3" t="s">
        <v>18</v>
      </c>
      <c r="H320" s="3" t="str">
        <f t="shared" si="166"/>
        <v>0</v>
      </c>
      <c r="I320" s="3" t="str">
        <f t="shared" si="167"/>
        <v>0</v>
      </c>
      <c r="J320" s="3" t="str">
        <f>"11"</f>
        <v>11</v>
      </c>
      <c r="K320" s="3" t="str">
        <f>"6185.16"</f>
        <v>6185.16</v>
      </c>
      <c r="L320" s="3" t="str">
        <f>"3711.1"</f>
        <v>3711.1</v>
      </c>
      <c r="M320" s="3" t="str">
        <f t="shared" si="163"/>
        <v>20240516</v>
      </c>
      <c r="N320" s="3" t="str">
        <f>"911506213413761539"</f>
        <v>911506213413761539</v>
      </c>
    </row>
    <row r="321" spans="1:14">
      <c r="A321" s="3" t="str">
        <f>"661506212394300"</f>
        <v>661506212394300</v>
      </c>
      <c r="B321" s="3" t="s">
        <v>617</v>
      </c>
      <c r="C321" s="3" t="s">
        <v>16</v>
      </c>
      <c r="D321" s="3" t="str">
        <f t="shared" si="171"/>
        <v>0</v>
      </c>
      <c r="E321" s="3" t="s">
        <v>17</v>
      </c>
      <c r="F321" s="3" t="s">
        <v>17</v>
      </c>
      <c r="G321" s="3" t="s">
        <v>140</v>
      </c>
      <c r="H321" s="3" t="str">
        <f t="shared" si="166"/>
        <v>0</v>
      </c>
      <c r="I321" s="3" t="str">
        <f t="shared" si="167"/>
        <v>0</v>
      </c>
      <c r="J321" s="3" t="str">
        <f>"43"</f>
        <v>43</v>
      </c>
      <c r="K321" s="3" t="str">
        <f>"25357.4"</f>
        <v>25357.4</v>
      </c>
      <c r="L321" s="3" t="str">
        <f>"15214.44"</f>
        <v>15214.44</v>
      </c>
      <c r="M321" s="3" t="str">
        <f t="shared" si="163"/>
        <v>20240516</v>
      </c>
      <c r="N321" s="3" t="s">
        <v>618</v>
      </c>
    </row>
    <row r="322" spans="1:14">
      <c r="A322" s="3" t="str">
        <f>"661506212392000"</f>
        <v>661506212392000</v>
      </c>
      <c r="B322" s="3" t="s">
        <v>619</v>
      </c>
      <c r="C322" s="3" t="s">
        <v>16</v>
      </c>
      <c r="D322" s="3" t="str">
        <f t="shared" si="171"/>
        <v>0</v>
      </c>
      <c r="E322" s="3" t="s">
        <v>17</v>
      </c>
      <c r="F322" s="3" t="s">
        <v>17</v>
      </c>
      <c r="G322" s="3" t="s">
        <v>16</v>
      </c>
      <c r="H322" s="3" t="str">
        <f t="shared" si="166"/>
        <v>0</v>
      </c>
      <c r="I322" s="3" t="str">
        <f t="shared" si="167"/>
        <v>0</v>
      </c>
      <c r="J322" s="3" t="str">
        <f>"5"</f>
        <v>5</v>
      </c>
      <c r="K322" s="3" t="str">
        <f>"2734.02"</f>
        <v>2734.02</v>
      </c>
      <c r="L322" s="3" t="str">
        <f>"820.21"</f>
        <v>820.21</v>
      </c>
      <c r="M322" s="3" t="str">
        <f t="shared" si="163"/>
        <v>20240516</v>
      </c>
      <c r="N322" s="3" t="s">
        <v>620</v>
      </c>
    </row>
    <row r="323" spans="1:14">
      <c r="A323" s="3" t="str">
        <f>"661506212290300"</f>
        <v>661506212290300</v>
      </c>
      <c r="B323" s="3" t="s">
        <v>621</v>
      </c>
      <c r="C323" s="3" t="s">
        <v>16</v>
      </c>
      <c r="D323" s="3" t="str">
        <f t="shared" si="171"/>
        <v>0</v>
      </c>
      <c r="E323" s="3" t="s">
        <v>17</v>
      </c>
      <c r="F323" s="3" t="s">
        <v>17</v>
      </c>
      <c r="G323" s="3" t="s">
        <v>18</v>
      </c>
      <c r="H323" s="3" t="str">
        <f t="shared" si="166"/>
        <v>0</v>
      </c>
      <c r="I323" s="3" t="str">
        <f t="shared" si="167"/>
        <v>0</v>
      </c>
      <c r="J323" s="3" t="str">
        <f>"16"</f>
        <v>16</v>
      </c>
      <c r="K323" s="3" t="str">
        <f>"8605.44"</f>
        <v>8605.44</v>
      </c>
      <c r="L323" s="3" t="str">
        <f>"5163.26"</f>
        <v>5163.26</v>
      </c>
      <c r="M323" s="3" t="str">
        <f t="shared" ref="M323:M386" si="172">"20240516"</f>
        <v>20240516</v>
      </c>
      <c r="N323" s="3" t="s">
        <v>622</v>
      </c>
    </row>
    <row r="324" spans="1:14">
      <c r="A324" s="3" t="str">
        <f>"661506211962300"</f>
        <v>661506211962300</v>
      </c>
      <c r="B324" s="3" t="s">
        <v>623</v>
      </c>
      <c r="C324" s="3" t="s">
        <v>16</v>
      </c>
      <c r="D324" s="3" t="str">
        <f t="shared" si="171"/>
        <v>0</v>
      </c>
      <c r="E324" s="3" t="s">
        <v>17</v>
      </c>
      <c r="F324" s="3" t="s">
        <v>17</v>
      </c>
      <c r="G324" s="3" t="s">
        <v>140</v>
      </c>
      <c r="H324" s="3" t="str">
        <f t="shared" si="166"/>
        <v>0</v>
      </c>
      <c r="I324" s="3" t="str">
        <f t="shared" si="167"/>
        <v>0</v>
      </c>
      <c r="J324" s="3" t="str">
        <f>"586"</f>
        <v>586</v>
      </c>
      <c r="K324" s="3" t="str">
        <f>"743167.3"</f>
        <v>743167.3</v>
      </c>
      <c r="L324" s="3" t="str">
        <f>"445900.38"</f>
        <v>445900.38</v>
      </c>
      <c r="M324" s="3" t="str">
        <f t="shared" si="172"/>
        <v>20240516</v>
      </c>
      <c r="N324" s="3" t="str">
        <f>"911506216769199571"</f>
        <v>911506216769199571</v>
      </c>
    </row>
    <row r="325" spans="1:14">
      <c r="A325" s="3" t="str">
        <f>"661506211952400"</f>
        <v>661506211952400</v>
      </c>
      <c r="B325" s="3" t="s">
        <v>624</v>
      </c>
      <c r="C325" s="3" t="s">
        <v>16</v>
      </c>
      <c r="D325" s="3">
        <v>0.07</v>
      </c>
      <c r="E325" s="3" t="s">
        <v>17</v>
      </c>
      <c r="F325" s="3" t="s">
        <v>17</v>
      </c>
      <c r="G325" s="3" t="s">
        <v>18</v>
      </c>
      <c r="H325" s="3" t="str">
        <f t="shared" si="166"/>
        <v>0</v>
      </c>
      <c r="I325" s="3" t="str">
        <f t="shared" si="167"/>
        <v>0</v>
      </c>
      <c r="J325" s="3" t="str">
        <f>"15"</f>
        <v>15</v>
      </c>
      <c r="K325" s="3" t="str">
        <f>"22402.44"</f>
        <v>22402.44</v>
      </c>
      <c r="L325" s="3" t="str">
        <f>"13441.46"</f>
        <v>13441.46</v>
      </c>
      <c r="M325" s="3" t="str">
        <f t="shared" si="172"/>
        <v>20240516</v>
      </c>
      <c r="N325" s="3" t="s">
        <v>625</v>
      </c>
    </row>
    <row r="326" spans="1:14">
      <c r="A326" s="3" t="str">
        <f>"661506211891700"</f>
        <v>661506211891700</v>
      </c>
      <c r="B326" s="3" t="s">
        <v>626</v>
      </c>
      <c r="C326" s="3" t="s">
        <v>16</v>
      </c>
      <c r="D326" s="3" t="str">
        <f t="shared" ref="D326:D329" si="173">"0"</f>
        <v>0</v>
      </c>
      <c r="E326" s="3" t="s">
        <v>17</v>
      </c>
      <c r="F326" s="3" t="s">
        <v>17</v>
      </c>
      <c r="G326" s="3" t="s">
        <v>25</v>
      </c>
      <c r="H326" s="3" t="str">
        <f t="shared" si="166"/>
        <v>0</v>
      </c>
      <c r="I326" s="3" t="str">
        <f t="shared" si="167"/>
        <v>0</v>
      </c>
      <c r="J326" s="3" t="str">
        <f t="shared" ref="J326:J331" si="174">"2"</f>
        <v>2</v>
      </c>
      <c r="K326" s="3" t="str">
        <f>"1075.68"</f>
        <v>1075.68</v>
      </c>
      <c r="L326" s="3" t="str">
        <f>"645.41"</f>
        <v>645.41</v>
      </c>
      <c r="M326" s="3" t="str">
        <f t="shared" si="172"/>
        <v>20240516</v>
      </c>
      <c r="N326" s="3" t="s">
        <v>627</v>
      </c>
    </row>
    <row r="327" spans="1:14">
      <c r="A327" s="3" t="str">
        <f>"661506211696800"</f>
        <v>661506211696800</v>
      </c>
      <c r="B327" s="3" t="s">
        <v>628</v>
      </c>
      <c r="C327" s="3" t="s">
        <v>16</v>
      </c>
      <c r="D327" s="3" t="str">
        <f t="shared" si="173"/>
        <v>0</v>
      </c>
      <c r="E327" s="3" t="s">
        <v>17</v>
      </c>
      <c r="F327" s="3" t="s">
        <v>17</v>
      </c>
      <c r="G327" s="3" t="s">
        <v>25</v>
      </c>
      <c r="H327" s="3" t="str">
        <f t="shared" si="166"/>
        <v>0</v>
      </c>
      <c r="I327" s="3" t="str">
        <f t="shared" si="167"/>
        <v>0</v>
      </c>
      <c r="J327" s="3" t="str">
        <f t="shared" si="174"/>
        <v>2</v>
      </c>
      <c r="K327" s="3" t="str">
        <f>"1434.24"</f>
        <v>1434.24</v>
      </c>
      <c r="L327" s="3" t="str">
        <f>"860.54"</f>
        <v>860.54</v>
      </c>
      <c r="M327" s="3" t="str">
        <f t="shared" si="172"/>
        <v>20240516</v>
      </c>
      <c r="N327" s="3" t="s">
        <v>629</v>
      </c>
    </row>
    <row r="328" spans="1:14">
      <c r="A328" s="3" t="str">
        <f>"661506211564300"</f>
        <v>661506211564300</v>
      </c>
      <c r="B328" s="3" t="s">
        <v>630</v>
      </c>
      <c r="C328" s="3" t="s">
        <v>16</v>
      </c>
      <c r="D328" s="3" t="str">
        <f t="shared" si="173"/>
        <v>0</v>
      </c>
      <c r="E328" s="3" t="s">
        <v>17</v>
      </c>
      <c r="F328" s="3" t="s">
        <v>17</v>
      </c>
      <c r="G328" s="3" t="s">
        <v>25</v>
      </c>
      <c r="H328" s="3" t="str">
        <f t="shared" si="166"/>
        <v>0</v>
      </c>
      <c r="I328" s="3" t="str">
        <f t="shared" si="167"/>
        <v>0</v>
      </c>
      <c r="J328" s="3" t="str">
        <f>"8"</f>
        <v>8</v>
      </c>
      <c r="K328" s="3" t="str">
        <f>"4630.42"</f>
        <v>4630.42</v>
      </c>
      <c r="L328" s="3" t="str">
        <f>"2778.25"</f>
        <v>2778.25</v>
      </c>
      <c r="M328" s="3" t="str">
        <f t="shared" si="172"/>
        <v>20240516</v>
      </c>
      <c r="N328" s="3" t="s">
        <v>631</v>
      </c>
    </row>
    <row r="329" spans="1:14">
      <c r="A329" s="3" t="str">
        <f>"661506211558400"</f>
        <v>661506211558400</v>
      </c>
      <c r="B329" s="3" t="s">
        <v>632</v>
      </c>
      <c r="C329" s="3" t="s">
        <v>16</v>
      </c>
      <c r="D329" s="3" t="str">
        <f t="shared" si="173"/>
        <v>0</v>
      </c>
      <c r="E329" s="3" t="s">
        <v>17</v>
      </c>
      <c r="F329" s="3" t="s">
        <v>17</v>
      </c>
      <c r="G329" s="3" t="s">
        <v>25</v>
      </c>
      <c r="H329" s="3" t="str">
        <f t="shared" si="166"/>
        <v>0</v>
      </c>
      <c r="I329" s="3" t="str">
        <f t="shared" si="167"/>
        <v>0</v>
      </c>
      <c r="J329" s="3" t="str">
        <f>"1"</f>
        <v>1</v>
      </c>
      <c r="K329" s="3" t="str">
        <f>"537.84"</f>
        <v>537.84</v>
      </c>
      <c r="L329" s="3" t="str">
        <f>"322.7"</f>
        <v>322.7</v>
      </c>
      <c r="M329" s="3" t="str">
        <f t="shared" si="172"/>
        <v>20240516</v>
      </c>
      <c r="N329" s="3" t="s">
        <v>633</v>
      </c>
    </row>
    <row r="330" spans="1:14">
      <c r="A330" s="3" t="str">
        <f>"661506211512200"</f>
        <v>661506211512200</v>
      </c>
      <c r="B330" s="3" t="s">
        <v>634</v>
      </c>
      <c r="C330" s="3" t="s">
        <v>16</v>
      </c>
      <c r="D330" s="3">
        <v>0.08</v>
      </c>
      <c r="E330" s="3" t="s">
        <v>17</v>
      </c>
      <c r="F330" s="3" t="s">
        <v>17</v>
      </c>
      <c r="G330" s="3" t="s">
        <v>18</v>
      </c>
      <c r="H330" s="3" t="str">
        <f t="shared" si="166"/>
        <v>0</v>
      </c>
      <c r="I330" s="3" t="str">
        <f t="shared" si="167"/>
        <v>0</v>
      </c>
      <c r="J330" s="3" t="str">
        <f>"13"</f>
        <v>13</v>
      </c>
      <c r="K330" s="3" t="str">
        <f>"9277.38"</f>
        <v>9277.38</v>
      </c>
      <c r="L330" s="3" t="str">
        <f>"5566.43"</f>
        <v>5566.43</v>
      </c>
      <c r="M330" s="3" t="str">
        <f t="shared" si="172"/>
        <v>20240516</v>
      </c>
      <c r="N330" s="3" t="str">
        <f>"911506215554999846"</f>
        <v>911506215554999846</v>
      </c>
    </row>
    <row r="331" spans="1:14">
      <c r="A331" s="3" t="str">
        <f>"661506211482200"</f>
        <v>661506211482200</v>
      </c>
      <c r="B331" s="3" t="s">
        <v>635</v>
      </c>
      <c r="C331" s="3"/>
      <c r="D331" s="3" t="str">
        <f t="shared" ref="D331:D335" si="175">"0"</f>
        <v>0</v>
      </c>
      <c r="E331" s="3" t="s">
        <v>17</v>
      </c>
      <c r="F331" s="3" t="s">
        <v>17</v>
      </c>
      <c r="G331" s="3" t="s">
        <v>18</v>
      </c>
      <c r="H331" s="3" t="str">
        <f t="shared" si="166"/>
        <v>0</v>
      </c>
      <c r="I331" s="3" t="str">
        <f t="shared" si="167"/>
        <v>0</v>
      </c>
      <c r="J331" s="3" t="str">
        <f t="shared" si="174"/>
        <v>2</v>
      </c>
      <c r="K331" s="3" t="str">
        <f>"1075.68"</f>
        <v>1075.68</v>
      </c>
      <c r="L331" s="3" t="str">
        <f>"645.41"</f>
        <v>645.41</v>
      </c>
      <c r="M331" s="3" t="str">
        <f t="shared" si="172"/>
        <v>20240516</v>
      </c>
      <c r="N331" s="3" t="s">
        <v>636</v>
      </c>
    </row>
    <row r="332" spans="1:14">
      <c r="A332" s="3" t="str">
        <f>"661506211473500"</f>
        <v>661506211473500</v>
      </c>
      <c r="B332" s="3" t="s">
        <v>637</v>
      </c>
      <c r="C332" s="3" t="s">
        <v>16</v>
      </c>
      <c r="D332" s="3" t="str">
        <f t="shared" si="175"/>
        <v>0</v>
      </c>
      <c r="E332" s="3" t="s">
        <v>17</v>
      </c>
      <c r="F332" s="3" t="s">
        <v>17</v>
      </c>
      <c r="G332" s="3" t="s">
        <v>25</v>
      </c>
      <c r="H332" s="3" t="str">
        <f t="shared" si="166"/>
        <v>0</v>
      </c>
      <c r="I332" s="3" t="str">
        <f t="shared" si="167"/>
        <v>0</v>
      </c>
      <c r="J332" s="3" t="str">
        <f>"3"</f>
        <v>3</v>
      </c>
      <c r="K332" s="3" t="str">
        <f>"1882.44"</f>
        <v>1882.44</v>
      </c>
      <c r="L332" s="3" t="str">
        <f>"1129.46"</f>
        <v>1129.46</v>
      </c>
      <c r="M332" s="3" t="str">
        <f t="shared" si="172"/>
        <v>20240516</v>
      </c>
      <c r="N332" s="3" t="s">
        <v>638</v>
      </c>
    </row>
    <row r="333" spans="1:14">
      <c r="A333" s="3" t="str">
        <f>"661506211444200"</f>
        <v>661506211444200</v>
      </c>
      <c r="B333" s="3" t="s">
        <v>639</v>
      </c>
      <c r="C333" s="3" t="s">
        <v>16</v>
      </c>
      <c r="D333" s="3" t="str">
        <f t="shared" si="175"/>
        <v>0</v>
      </c>
      <c r="E333" s="3" t="s">
        <v>17</v>
      </c>
      <c r="F333" s="3" t="s">
        <v>17</v>
      </c>
      <c r="G333" s="3" t="s">
        <v>25</v>
      </c>
      <c r="H333" s="3" t="str">
        <f t="shared" si="166"/>
        <v>0</v>
      </c>
      <c r="I333" s="3" t="str">
        <f t="shared" si="167"/>
        <v>0</v>
      </c>
      <c r="J333" s="3" t="str">
        <f>"1"</f>
        <v>1</v>
      </c>
      <c r="K333" s="3" t="str">
        <f>"537.84"</f>
        <v>537.84</v>
      </c>
      <c r="L333" s="3" t="str">
        <f>"322.7"</f>
        <v>322.7</v>
      </c>
      <c r="M333" s="3" t="str">
        <f t="shared" si="172"/>
        <v>20240516</v>
      </c>
      <c r="N333" s="3" t="str">
        <f>"911506216928697184"</f>
        <v>911506216928697184</v>
      </c>
    </row>
    <row r="334" spans="1:14">
      <c r="A334" s="3" t="str">
        <f>"661506211403100"</f>
        <v>661506211403100</v>
      </c>
      <c r="B334" s="3" t="s">
        <v>640</v>
      </c>
      <c r="C334" s="3" t="s">
        <v>16</v>
      </c>
      <c r="D334" s="3" t="str">
        <f t="shared" si="175"/>
        <v>0</v>
      </c>
      <c r="E334" s="3" t="s">
        <v>17</v>
      </c>
      <c r="F334" s="3" t="s">
        <v>17</v>
      </c>
      <c r="G334" s="3" t="s">
        <v>25</v>
      </c>
      <c r="H334" s="3" t="str">
        <f t="shared" si="166"/>
        <v>0</v>
      </c>
      <c r="I334" s="3" t="str">
        <f t="shared" si="167"/>
        <v>0</v>
      </c>
      <c r="J334" s="3" t="str">
        <f>"6"</f>
        <v>6</v>
      </c>
      <c r="K334" s="3" t="str">
        <f>"3799.56"</f>
        <v>3799.56</v>
      </c>
      <c r="L334" s="3" t="str">
        <f>"2279.74"</f>
        <v>2279.74</v>
      </c>
      <c r="M334" s="3" t="str">
        <f t="shared" si="172"/>
        <v>20240516</v>
      </c>
      <c r="N334" s="3" t="str">
        <f>"911506215706146537"</f>
        <v>911506215706146537</v>
      </c>
    </row>
    <row r="335" spans="1:14">
      <c r="A335" s="3" t="str">
        <f>"661506211383600"</f>
        <v>661506211383600</v>
      </c>
      <c r="B335" s="3" t="s">
        <v>641</v>
      </c>
      <c r="C335" s="3" t="s">
        <v>16</v>
      </c>
      <c r="D335" s="3" t="str">
        <f t="shared" si="175"/>
        <v>0</v>
      </c>
      <c r="E335" s="3" t="s">
        <v>17</v>
      </c>
      <c r="F335" s="3" t="s">
        <v>17</v>
      </c>
      <c r="G335" s="3" t="s">
        <v>25</v>
      </c>
      <c r="H335" s="3" t="str">
        <f t="shared" si="166"/>
        <v>0</v>
      </c>
      <c r="I335" s="3" t="str">
        <f t="shared" si="167"/>
        <v>0</v>
      </c>
      <c r="J335" s="3" t="str">
        <f>"13"</f>
        <v>13</v>
      </c>
      <c r="K335" s="3" t="str">
        <f>"7036.74"</f>
        <v>7036.74</v>
      </c>
      <c r="L335" s="3" t="str">
        <f>"4222.04"</f>
        <v>4222.04</v>
      </c>
      <c r="M335" s="3" t="str">
        <f t="shared" si="172"/>
        <v>20240516</v>
      </c>
      <c r="N335" s="3" t="s">
        <v>642</v>
      </c>
    </row>
    <row r="336" spans="1:14">
      <c r="A336" s="3" t="str">
        <f>"661506211378200"</f>
        <v>661506211378200</v>
      </c>
      <c r="B336" s="3" t="s">
        <v>643</v>
      </c>
      <c r="C336" s="3" t="s">
        <v>16</v>
      </c>
      <c r="D336" s="3">
        <v>0.08</v>
      </c>
      <c r="E336" s="3" t="s">
        <v>17</v>
      </c>
      <c r="F336" s="3" t="s">
        <v>17</v>
      </c>
      <c r="G336" s="3" t="s">
        <v>25</v>
      </c>
      <c r="H336" s="3" t="str">
        <f t="shared" si="166"/>
        <v>0</v>
      </c>
      <c r="I336" s="3" t="str">
        <f t="shared" si="167"/>
        <v>0</v>
      </c>
      <c r="J336" s="3" t="str">
        <f>"12"</f>
        <v>12</v>
      </c>
      <c r="K336" s="3" t="str">
        <f>"8491.56"</f>
        <v>8491.56</v>
      </c>
      <c r="L336" s="3" t="str">
        <f>"5094.94"</f>
        <v>5094.94</v>
      </c>
      <c r="M336" s="3" t="str">
        <f t="shared" si="172"/>
        <v>20240516</v>
      </c>
      <c r="N336" s="3" t="s">
        <v>644</v>
      </c>
    </row>
    <row r="337" spans="1:14">
      <c r="A337" s="3" t="str">
        <f>"661506211320200"</f>
        <v>661506211320200</v>
      </c>
      <c r="B337" s="3" t="s">
        <v>645</v>
      </c>
      <c r="C337" s="3" t="s">
        <v>16</v>
      </c>
      <c r="D337" s="3" t="str">
        <f t="shared" ref="D337:D341" si="176">"0"</f>
        <v>0</v>
      </c>
      <c r="E337" s="3" t="s">
        <v>17</v>
      </c>
      <c r="F337" s="3" t="s">
        <v>17</v>
      </c>
      <c r="G337" s="3" t="s">
        <v>18</v>
      </c>
      <c r="H337" s="3" t="str">
        <f t="shared" si="166"/>
        <v>0</v>
      </c>
      <c r="I337" s="3" t="str">
        <f t="shared" si="167"/>
        <v>0</v>
      </c>
      <c r="J337" s="3" t="str">
        <f>"16"</f>
        <v>16</v>
      </c>
      <c r="K337" s="3" t="str">
        <f>"8943.6"</f>
        <v>8943.6</v>
      </c>
      <c r="L337" s="3" t="str">
        <f>"5366.16"</f>
        <v>5366.16</v>
      </c>
      <c r="M337" s="3" t="str">
        <f t="shared" si="172"/>
        <v>20240516</v>
      </c>
      <c r="N337" s="3" t="s">
        <v>646</v>
      </c>
    </row>
    <row r="338" spans="1:14">
      <c r="A338" s="3" t="str">
        <f>"661506211317500"</f>
        <v>661506211317500</v>
      </c>
      <c r="B338" s="3" t="s">
        <v>647</v>
      </c>
      <c r="C338" s="3" t="s">
        <v>16</v>
      </c>
      <c r="D338" s="3" t="str">
        <f t="shared" si="176"/>
        <v>0</v>
      </c>
      <c r="E338" s="3" t="s">
        <v>17</v>
      </c>
      <c r="F338" s="3" t="s">
        <v>17</v>
      </c>
      <c r="G338" s="3" t="s">
        <v>25</v>
      </c>
      <c r="H338" s="3" t="str">
        <f t="shared" si="166"/>
        <v>0</v>
      </c>
      <c r="I338" s="3" t="str">
        <f t="shared" si="167"/>
        <v>0</v>
      </c>
      <c r="J338" s="3" t="str">
        <f>"1"</f>
        <v>1</v>
      </c>
      <c r="K338" s="3" t="str">
        <f>"537.84"</f>
        <v>537.84</v>
      </c>
      <c r="L338" s="3" t="str">
        <f>"322.7"</f>
        <v>322.7</v>
      </c>
      <c r="M338" s="3" t="str">
        <f t="shared" si="172"/>
        <v>20240516</v>
      </c>
      <c r="N338" s="3" t="s">
        <v>648</v>
      </c>
    </row>
    <row r="339" spans="1:14">
      <c r="A339" s="3" t="str">
        <f>"661506211298200"</f>
        <v>661506211298200</v>
      </c>
      <c r="B339" s="3" t="s">
        <v>649</v>
      </c>
      <c r="C339" s="3" t="s">
        <v>16</v>
      </c>
      <c r="D339" s="3" t="str">
        <f t="shared" si="176"/>
        <v>0</v>
      </c>
      <c r="E339" s="3" t="s">
        <v>17</v>
      </c>
      <c r="F339" s="3" t="s">
        <v>17</v>
      </c>
      <c r="G339" s="3" t="s">
        <v>18</v>
      </c>
      <c r="H339" s="3" t="str">
        <f t="shared" si="166"/>
        <v>0</v>
      </c>
      <c r="I339" s="3" t="str">
        <f t="shared" si="167"/>
        <v>0</v>
      </c>
      <c r="J339" s="3" t="str">
        <f>"26"</f>
        <v>26</v>
      </c>
      <c r="K339" s="3" t="str">
        <f>"22017.86"</f>
        <v>22017.86</v>
      </c>
      <c r="L339" s="3" t="str">
        <f>"13210.72"</f>
        <v>13210.72</v>
      </c>
      <c r="M339" s="3" t="str">
        <f t="shared" si="172"/>
        <v>20240516</v>
      </c>
      <c r="N339" s="3" t="str">
        <f>"911506215669356575"</f>
        <v>911506215669356575</v>
      </c>
    </row>
    <row r="340" spans="1:14">
      <c r="A340" s="3" t="str">
        <f>"661506211290200"</f>
        <v>661506211290200</v>
      </c>
      <c r="B340" s="3" t="s">
        <v>650</v>
      </c>
      <c r="C340" s="3" t="s">
        <v>16</v>
      </c>
      <c r="D340" s="3" t="str">
        <f t="shared" si="176"/>
        <v>0</v>
      </c>
      <c r="E340" s="3" t="s">
        <v>17</v>
      </c>
      <c r="F340" s="3" t="s">
        <v>17</v>
      </c>
      <c r="G340" s="3" t="s">
        <v>140</v>
      </c>
      <c r="H340" s="3" t="str">
        <f t="shared" si="166"/>
        <v>0</v>
      </c>
      <c r="I340" s="3" t="str">
        <f t="shared" si="167"/>
        <v>0</v>
      </c>
      <c r="J340" s="3" t="str">
        <f>"90"</f>
        <v>90</v>
      </c>
      <c r="K340" s="3" t="str">
        <f>"76373.86"</f>
        <v>76373.86</v>
      </c>
      <c r="L340" s="3" t="str">
        <f>"45824.32"</f>
        <v>45824.32</v>
      </c>
      <c r="M340" s="3" t="str">
        <f t="shared" si="172"/>
        <v>20240516</v>
      </c>
      <c r="N340" s="3" t="s">
        <v>651</v>
      </c>
    </row>
    <row r="341" spans="1:14">
      <c r="A341" s="3" t="str">
        <f>"661506211273900"</f>
        <v>661506211273900</v>
      </c>
      <c r="B341" s="3" t="s">
        <v>652</v>
      </c>
      <c r="C341" s="3" t="s">
        <v>16</v>
      </c>
      <c r="D341" s="3" t="str">
        <f t="shared" si="176"/>
        <v>0</v>
      </c>
      <c r="E341" s="3" t="s">
        <v>17</v>
      </c>
      <c r="F341" s="3" t="s">
        <v>17</v>
      </c>
      <c r="G341" s="3" t="s">
        <v>25</v>
      </c>
      <c r="H341" s="3" t="str">
        <f t="shared" si="166"/>
        <v>0</v>
      </c>
      <c r="I341" s="3" t="str">
        <f t="shared" si="167"/>
        <v>0</v>
      </c>
      <c r="J341" s="3" t="str">
        <f>"13"</f>
        <v>13</v>
      </c>
      <c r="K341" s="3" t="str">
        <f>"7216.02"</f>
        <v>7216.02</v>
      </c>
      <c r="L341" s="3" t="str">
        <f>"4329.61"</f>
        <v>4329.61</v>
      </c>
      <c r="M341" s="3" t="str">
        <f t="shared" si="172"/>
        <v>20240516</v>
      </c>
      <c r="N341" s="3" t="s">
        <v>653</v>
      </c>
    </row>
    <row r="342" spans="1:14">
      <c r="A342" s="3" t="str">
        <f>"661506211256200"</f>
        <v>661506211256200</v>
      </c>
      <c r="B342" s="3" t="s">
        <v>654</v>
      </c>
      <c r="C342" s="3" t="s">
        <v>16</v>
      </c>
      <c r="D342" s="3">
        <v>0.03</v>
      </c>
      <c r="E342" s="3" t="s">
        <v>17</v>
      </c>
      <c r="F342" s="3" t="s">
        <v>17</v>
      </c>
      <c r="G342" s="3" t="s">
        <v>140</v>
      </c>
      <c r="H342" s="3" t="str">
        <f t="shared" si="166"/>
        <v>0</v>
      </c>
      <c r="I342" s="3" t="str">
        <f t="shared" si="167"/>
        <v>0</v>
      </c>
      <c r="J342" s="3" t="str">
        <f>"117"</f>
        <v>117</v>
      </c>
      <c r="K342" s="3" t="str">
        <f>"70664.66"</f>
        <v>70664.66</v>
      </c>
      <c r="L342" s="3" t="str">
        <f>"42398.8"</f>
        <v>42398.8</v>
      </c>
      <c r="M342" s="3" t="str">
        <f t="shared" si="172"/>
        <v>20240516</v>
      </c>
      <c r="N342" s="3" t="s">
        <v>655</v>
      </c>
    </row>
    <row r="343" spans="1:14">
      <c r="A343" s="3" t="str">
        <f>"661506211198000"</f>
        <v>661506211198000</v>
      </c>
      <c r="B343" s="3" t="s">
        <v>656</v>
      </c>
      <c r="C343" s="3" t="s">
        <v>16</v>
      </c>
      <c r="D343" s="3" t="str">
        <f>"0"</f>
        <v>0</v>
      </c>
      <c r="E343" s="3" t="s">
        <v>17</v>
      </c>
      <c r="F343" s="3" t="s">
        <v>17</v>
      </c>
      <c r="G343" s="3" t="s">
        <v>18</v>
      </c>
      <c r="H343" s="3" t="str">
        <f t="shared" si="166"/>
        <v>0</v>
      </c>
      <c r="I343" s="3" t="str">
        <f t="shared" si="167"/>
        <v>0</v>
      </c>
      <c r="J343" s="3" t="str">
        <f>"28"</f>
        <v>28</v>
      </c>
      <c r="K343" s="3" t="str">
        <f>"16182.12"</f>
        <v>16182.12</v>
      </c>
      <c r="L343" s="3" t="str">
        <f>"9709.27"</f>
        <v>9709.27</v>
      </c>
      <c r="M343" s="3" t="str">
        <f t="shared" si="172"/>
        <v>20240516</v>
      </c>
      <c r="N343" s="3" t="s">
        <v>657</v>
      </c>
    </row>
    <row r="344" spans="1:14">
      <c r="A344" s="3" t="str">
        <f>"661506211144200"</f>
        <v>661506211144200</v>
      </c>
      <c r="B344" s="3" t="s">
        <v>658</v>
      </c>
      <c r="C344" s="3" t="s">
        <v>16</v>
      </c>
      <c r="D344" s="3" t="str">
        <f t="shared" ref="D344:I344" si="177">"0"</f>
        <v>0</v>
      </c>
      <c r="E344" s="3" t="s">
        <v>17</v>
      </c>
      <c r="F344" s="3" t="s">
        <v>17</v>
      </c>
      <c r="G344" s="3" t="s">
        <v>25</v>
      </c>
      <c r="H344" s="3" t="str">
        <f t="shared" si="177"/>
        <v>0</v>
      </c>
      <c r="I344" s="3" t="str">
        <f t="shared" si="177"/>
        <v>0</v>
      </c>
      <c r="J344" s="3" t="str">
        <f>"12"</f>
        <v>12</v>
      </c>
      <c r="K344" s="3" t="str">
        <f>"7569.6"</f>
        <v>7569.6</v>
      </c>
      <c r="L344" s="3" t="str">
        <f>"4541.76"</f>
        <v>4541.76</v>
      </c>
      <c r="M344" s="3" t="str">
        <f t="shared" si="172"/>
        <v>20240516</v>
      </c>
      <c r="N344" s="3" t="s">
        <v>659</v>
      </c>
    </row>
    <row r="345" spans="1:14">
      <c r="A345" s="3" t="str">
        <f>"661506211140900"</f>
        <v>661506211140900</v>
      </c>
      <c r="B345" s="3" t="s">
        <v>660</v>
      </c>
      <c r="C345" s="3" t="s">
        <v>16</v>
      </c>
      <c r="D345" s="3" t="str">
        <f t="shared" ref="D345:I345" si="178">"0"</f>
        <v>0</v>
      </c>
      <c r="E345" s="3" t="s">
        <v>17</v>
      </c>
      <c r="F345" s="3" t="s">
        <v>17</v>
      </c>
      <c r="G345" s="3" t="s">
        <v>25</v>
      </c>
      <c r="H345" s="3" t="str">
        <f t="shared" si="178"/>
        <v>0</v>
      </c>
      <c r="I345" s="3" t="str">
        <f t="shared" si="178"/>
        <v>0</v>
      </c>
      <c r="J345" s="3" t="str">
        <f>"32"</f>
        <v>32</v>
      </c>
      <c r="K345" s="3" t="str">
        <f>"18859.02"</f>
        <v>18859.02</v>
      </c>
      <c r="L345" s="3" t="str">
        <f>"11315.41"</f>
        <v>11315.41</v>
      </c>
      <c r="M345" s="3" t="str">
        <f t="shared" si="172"/>
        <v>20240516</v>
      </c>
      <c r="N345" s="3" t="s">
        <v>661</v>
      </c>
    </row>
    <row r="346" spans="1:14">
      <c r="A346" s="3" t="str">
        <f>"661506211107400"</f>
        <v>661506211107400</v>
      </c>
      <c r="B346" s="3" t="s">
        <v>662</v>
      </c>
      <c r="C346" s="3" t="s">
        <v>16</v>
      </c>
      <c r="D346" s="3" t="str">
        <f t="shared" ref="D346:I346" si="179">"0"</f>
        <v>0</v>
      </c>
      <c r="E346" s="3" t="s">
        <v>17</v>
      </c>
      <c r="F346" s="3" t="s">
        <v>17</v>
      </c>
      <c r="G346" s="3" t="s">
        <v>25</v>
      </c>
      <c r="H346" s="3" t="str">
        <f t="shared" si="179"/>
        <v>0</v>
      </c>
      <c r="I346" s="3" t="str">
        <f t="shared" si="179"/>
        <v>0</v>
      </c>
      <c r="J346" s="3" t="str">
        <f>"613"</f>
        <v>613</v>
      </c>
      <c r="K346" s="3" t="str">
        <f>"329337.36"</f>
        <v>329337.36</v>
      </c>
      <c r="L346" s="3" t="str">
        <f>"197602.42"</f>
        <v>197602.42</v>
      </c>
      <c r="M346" s="3" t="str">
        <f t="shared" si="172"/>
        <v>20240516</v>
      </c>
      <c r="N346" s="3" t="s">
        <v>663</v>
      </c>
    </row>
    <row r="347" spans="1:14">
      <c r="A347" s="3" t="str">
        <f>"661506211106300"</f>
        <v>661506211106300</v>
      </c>
      <c r="B347" s="3" t="s">
        <v>664</v>
      </c>
      <c r="C347" s="3" t="s">
        <v>16</v>
      </c>
      <c r="D347" s="3" t="str">
        <f t="shared" ref="D347:I347" si="180">"0"</f>
        <v>0</v>
      </c>
      <c r="E347" s="3" t="s">
        <v>17</v>
      </c>
      <c r="F347" s="3" t="s">
        <v>17</v>
      </c>
      <c r="G347" s="3" t="s">
        <v>18</v>
      </c>
      <c r="H347" s="3" t="str">
        <f t="shared" si="180"/>
        <v>0</v>
      </c>
      <c r="I347" s="3" t="str">
        <f t="shared" si="180"/>
        <v>0</v>
      </c>
      <c r="J347" s="3" t="str">
        <f>"1"</f>
        <v>1</v>
      </c>
      <c r="K347" s="3" t="str">
        <f>"595.2"</f>
        <v>595.2</v>
      </c>
      <c r="L347" s="3" t="str">
        <f>"357.12"</f>
        <v>357.12</v>
      </c>
      <c r="M347" s="3" t="str">
        <f t="shared" si="172"/>
        <v>20240516</v>
      </c>
      <c r="N347" s="3" t="str">
        <f>"911506215788825569"</f>
        <v>911506215788825569</v>
      </c>
    </row>
    <row r="348" spans="1:14">
      <c r="A348" s="3" t="str">
        <f>"661506211106200"</f>
        <v>661506211106200</v>
      </c>
      <c r="B348" s="3" t="s">
        <v>665</v>
      </c>
      <c r="C348" s="3" t="s">
        <v>16</v>
      </c>
      <c r="D348" s="3" t="str">
        <f t="shared" ref="D348:I348" si="181">"0"</f>
        <v>0</v>
      </c>
      <c r="E348" s="3" t="s">
        <v>17</v>
      </c>
      <c r="F348" s="3" t="s">
        <v>17</v>
      </c>
      <c r="G348" s="3" t="s">
        <v>25</v>
      </c>
      <c r="H348" s="3" t="str">
        <f t="shared" si="181"/>
        <v>0</v>
      </c>
      <c r="I348" s="3" t="str">
        <f t="shared" si="181"/>
        <v>0</v>
      </c>
      <c r="J348" s="3" t="str">
        <f>"6"</f>
        <v>6</v>
      </c>
      <c r="K348" s="3" t="str">
        <f>"3648.3"</f>
        <v>3648.3</v>
      </c>
      <c r="L348" s="3" t="str">
        <f>"2188.98"</f>
        <v>2188.98</v>
      </c>
      <c r="M348" s="3" t="str">
        <f t="shared" si="172"/>
        <v>20240516</v>
      </c>
      <c r="N348" s="3" t="s">
        <v>666</v>
      </c>
    </row>
    <row r="349" spans="1:14">
      <c r="A349" s="3" t="str">
        <f>"661506211048200"</f>
        <v>661506211048200</v>
      </c>
      <c r="B349" s="3" t="s">
        <v>667</v>
      </c>
      <c r="C349" s="3" t="s">
        <v>16</v>
      </c>
      <c r="D349" s="3" t="str">
        <f t="shared" ref="D349:I349" si="182">"0"</f>
        <v>0</v>
      </c>
      <c r="E349" s="3" t="s">
        <v>17</v>
      </c>
      <c r="F349" s="3" t="s">
        <v>17</v>
      </c>
      <c r="G349" s="3" t="s">
        <v>18</v>
      </c>
      <c r="H349" s="3" t="str">
        <f t="shared" si="182"/>
        <v>0</v>
      </c>
      <c r="I349" s="3" t="str">
        <f t="shared" si="182"/>
        <v>0</v>
      </c>
      <c r="J349" s="3" t="str">
        <f>"29"</f>
        <v>29</v>
      </c>
      <c r="K349" s="3" t="str">
        <f>"16457.4"</f>
        <v>16457.4</v>
      </c>
      <c r="L349" s="3" t="str">
        <f>"9874.44"</f>
        <v>9874.44</v>
      </c>
      <c r="M349" s="3" t="str">
        <f t="shared" si="172"/>
        <v>20240516</v>
      </c>
      <c r="N349" s="3" t="str">
        <f>"911506215528093934"</f>
        <v>911506215528093934</v>
      </c>
    </row>
    <row r="350" spans="1:14">
      <c r="A350" s="3" t="str">
        <f>"661506211036600"</f>
        <v>661506211036600</v>
      </c>
      <c r="B350" s="3" t="s">
        <v>668</v>
      </c>
      <c r="C350" s="3" t="s">
        <v>16</v>
      </c>
      <c r="D350" s="3" t="str">
        <f t="shared" ref="D350:I350" si="183">"0"</f>
        <v>0</v>
      </c>
      <c r="E350" s="3" t="s">
        <v>17</v>
      </c>
      <c r="F350" s="3" t="s">
        <v>17</v>
      </c>
      <c r="G350" s="3" t="s">
        <v>25</v>
      </c>
      <c r="H350" s="3" t="str">
        <f t="shared" si="183"/>
        <v>0</v>
      </c>
      <c r="I350" s="3" t="str">
        <f t="shared" si="183"/>
        <v>0</v>
      </c>
      <c r="J350" s="3" t="str">
        <f>"3"</f>
        <v>3</v>
      </c>
      <c r="K350" s="3" t="str">
        <f>"1800.48"</f>
        <v>1800.48</v>
      </c>
      <c r="L350" s="3" t="str">
        <f>"1080.29"</f>
        <v>1080.29</v>
      </c>
      <c r="M350" s="3" t="str">
        <f t="shared" si="172"/>
        <v>20240516</v>
      </c>
      <c r="N350" s="3" t="s">
        <v>669</v>
      </c>
    </row>
    <row r="351" spans="1:14">
      <c r="A351" s="3" t="str">
        <f>"661506211036500"</f>
        <v>661506211036500</v>
      </c>
      <c r="B351" s="3" t="s">
        <v>670</v>
      </c>
      <c r="C351" s="3" t="s">
        <v>16</v>
      </c>
      <c r="D351" s="3" t="str">
        <f t="shared" ref="D351:I351" si="184">"0"</f>
        <v>0</v>
      </c>
      <c r="E351" s="3" t="s">
        <v>17</v>
      </c>
      <c r="F351" s="3" t="s">
        <v>17</v>
      </c>
      <c r="G351" s="3" t="s">
        <v>25</v>
      </c>
      <c r="H351" s="3" t="str">
        <f t="shared" si="184"/>
        <v>0</v>
      </c>
      <c r="I351" s="3" t="str">
        <f t="shared" si="184"/>
        <v>0</v>
      </c>
      <c r="J351" s="3" t="str">
        <f>"11"</f>
        <v>11</v>
      </c>
      <c r="K351" s="3" t="str">
        <f>"10133.9"</f>
        <v>10133.9</v>
      </c>
      <c r="L351" s="3" t="str">
        <f>"6080.34"</f>
        <v>6080.34</v>
      </c>
      <c r="M351" s="3" t="str">
        <f t="shared" si="172"/>
        <v>20240516</v>
      </c>
      <c r="N351" s="3" t="s">
        <v>671</v>
      </c>
    </row>
    <row r="352" spans="1:14">
      <c r="A352" s="3" t="str">
        <f>"661506211000001035"</f>
        <v>661506211000001035</v>
      </c>
      <c r="B352" s="3" t="s">
        <v>672</v>
      </c>
      <c r="C352" s="3" t="s">
        <v>16</v>
      </c>
      <c r="D352" s="3" t="str">
        <f t="shared" ref="D352:I352" si="185">"0"</f>
        <v>0</v>
      </c>
      <c r="E352" s="3" t="s">
        <v>17</v>
      </c>
      <c r="F352" s="3" t="s">
        <v>17</v>
      </c>
      <c r="G352" s="3" t="s">
        <v>18</v>
      </c>
      <c r="H352" s="3" t="str">
        <f t="shared" si="185"/>
        <v>0</v>
      </c>
      <c r="I352" s="3" t="str">
        <f t="shared" si="185"/>
        <v>0</v>
      </c>
      <c r="J352" s="3" t="str">
        <f>"14"</f>
        <v>14</v>
      </c>
      <c r="K352" s="3" t="str">
        <f>"7959.3"</f>
        <v>7959.3</v>
      </c>
      <c r="L352" s="3" t="str">
        <f>"4775.58"</f>
        <v>4775.58</v>
      </c>
      <c r="M352" s="3" t="str">
        <f t="shared" si="172"/>
        <v>20240516</v>
      </c>
      <c r="N352" s="3" t="s">
        <v>673</v>
      </c>
    </row>
    <row r="353" spans="1:14">
      <c r="A353" s="3" t="str">
        <f>"661506211000001034"</f>
        <v>661506211000001034</v>
      </c>
      <c r="B353" s="3" t="s">
        <v>674</v>
      </c>
      <c r="C353" s="3" t="s">
        <v>16</v>
      </c>
      <c r="D353" s="3" t="str">
        <f t="shared" ref="D353:I353" si="186">"0"</f>
        <v>0</v>
      </c>
      <c r="E353" s="3" t="s">
        <v>17</v>
      </c>
      <c r="F353" s="3" t="s">
        <v>17</v>
      </c>
      <c r="G353" s="3" t="s">
        <v>18</v>
      </c>
      <c r="H353" s="3" t="str">
        <f t="shared" si="186"/>
        <v>0</v>
      </c>
      <c r="I353" s="3" t="str">
        <f t="shared" si="186"/>
        <v>0</v>
      </c>
      <c r="J353" s="3" t="str">
        <f>"43"</f>
        <v>43</v>
      </c>
      <c r="K353" s="3" t="str">
        <f>"26957.14"</f>
        <v>26957.14</v>
      </c>
      <c r="L353" s="3" t="str">
        <f>"16174.28"</f>
        <v>16174.28</v>
      </c>
      <c r="M353" s="3" t="str">
        <f t="shared" si="172"/>
        <v>20240516</v>
      </c>
      <c r="N353" s="3" t="str">
        <f>"911506215973146265"</f>
        <v>911506215973146265</v>
      </c>
    </row>
    <row r="354" spans="1:14">
      <c r="A354" s="3" t="str">
        <f>"661506211000001025"</f>
        <v>661506211000001025</v>
      </c>
      <c r="B354" s="3" t="s">
        <v>675</v>
      </c>
      <c r="C354" s="3" t="s">
        <v>16</v>
      </c>
      <c r="D354" s="3" t="str">
        <f t="shared" ref="D354:I354" si="187">"0"</f>
        <v>0</v>
      </c>
      <c r="E354" s="3" t="s">
        <v>17</v>
      </c>
      <c r="F354" s="3" t="s">
        <v>17</v>
      </c>
      <c r="G354" s="3" t="s">
        <v>18</v>
      </c>
      <c r="H354" s="3" t="str">
        <f t="shared" si="187"/>
        <v>0</v>
      </c>
      <c r="I354" s="3" t="str">
        <f t="shared" si="187"/>
        <v>0</v>
      </c>
      <c r="J354" s="3" t="str">
        <f>"12"</f>
        <v>12</v>
      </c>
      <c r="K354" s="3" t="str">
        <f>"8479.52"</f>
        <v>8479.52</v>
      </c>
      <c r="L354" s="3" t="str">
        <f>"5087.71"</f>
        <v>5087.71</v>
      </c>
      <c r="M354" s="3" t="str">
        <f t="shared" si="172"/>
        <v>20240516</v>
      </c>
      <c r="N354" s="3" t="str">
        <f>"911506215581414352"</f>
        <v>911506215581414352</v>
      </c>
    </row>
    <row r="355" spans="1:14">
      <c r="A355" s="3" t="str">
        <f>"661506211000001021"</f>
        <v>661506211000001021</v>
      </c>
      <c r="B355" s="3" t="s">
        <v>676</v>
      </c>
      <c r="C355" s="3" t="s">
        <v>16</v>
      </c>
      <c r="D355" s="3" t="str">
        <f t="shared" ref="D355:I355" si="188">"0"</f>
        <v>0</v>
      </c>
      <c r="E355" s="3" t="s">
        <v>17</v>
      </c>
      <c r="F355" s="3" t="s">
        <v>17</v>
      </c>
      <c r="G355" s="3" t="s">
        <v>25</v>
      </c>
      <c r="H355" s="3" t="str">
        <f t="shared" si="188"/>
        <v>0</v>
      </c>
      <c r="I355" s="3" t="str">
        <f t="shared" si="188"/>
        <v>0</v>
      </c>
      <c r="J355" s="3" t="str">
        <f>"5"</f>
        <v>5</v>
      </c>
      <c r="K355" s="3" t="str">
        <f>"2728.2"</f>
        <v>2728.2</v>
      </c>
      <c r="L355" s="3" t="str">
        <f>"1636.92"</f>
        <v>1636.92</v>
      </c>
      <c r="M355" s="3" t="str">
        <f t="shared" si="172"/>
        <v>20240516</v>
      </c>
      <c r="N355" s="3" t="s">
        <v>677</v>
      </c>
    </row>
    <row r="356" spans="1:14">
      <c r="A356" s="3" t="str">
        <f>"661506211000001014"</f>
        <v>661506211000001014</v>
      </c>
      <c r="B356" s="3" t="s">
        <v>678</v>
      </c>
      <c r="C356" s="3"/>
      <c r="D356" s="3" t="str">
        <f t="shared" ref="D356:I356" si="189">"0"</f>
        <v>0</v>
      </c>
      <c r="E356" s="3" t="s">
        <v>17</v>
      </c>
      <c r="F356" s="3" t="s">
        <v>17</v>
      </c>
      <c r="G356" s="3" t="s">
        <v>18</v>
      </c>
      <c r="H356" s="3" t="str">
        <f t="shared" si="189"/>
        <v>0</v>
      </c>
      <c r="I356" s="3" t="str">
        <f t="shared" si="189"/>
        <v>0</v>
      </c>
      <c r="J356" s="3" t="str">
        <f>"20"</f>
        <v>20</v>
      </c>
      <c r="K356" s="3" t="str">
        <f>"11011.82"</f>
        <v>11011.82</v>
      </c>
      <c r="L356" s="3" t="str">
        <f>"6607.09"</f>
        <v>6607.09</v>
      </c>
      <c r="M356" s="3" t="str">
        <f t="shared" si="172"/>
        <v>20240516</v>
      </c>
      <c r="N356" s="3" t="s">
        <v>679</v>
      </c>
    </row>
    <row r="357" spans="1:14">
      <c r="A357" s="3" t="str">
        <f>"661506211000001013"</f>
        <v>661506211000001013</v>
      </c>
      <c r="B357" s="3" t="s">
        <v>680</v>
      </c>
      <c r="C357" s="3" t="s">
        <v>16</v>
      </c>
      <c r="D357" s="3" t="str">
        <f t="shared" ref="D357:I357" si="190">"0"</f>
        <v>0</v>
      </c>
      <c r="E357" s="3" t="s">
        <v>17</v>
      </c>
      <c r="F357" s="3" t="s">
        <v>17</v>
      </c>
      <c r="G357" s="3" t="s">
        <v>25</v>
      </c>
      <c r="H357" s="3" t="str">
        <f t="shared" si="190"/>
        <v>0</v>
      </c>
      <c r="I357" s="3" t="str">
        <f t="shared" si="190"/>
        <v>0</v>
      </c>
      <c r="J357" s="3" t="str">
        <f>"5"</f>
        <v>5</v>
      </c>
      <c r="K357" s="3" t="str">
        <f>"2906.4"</f>
        <v>2906.4</v>
      </c>
      <c r="L357" s="3" t="str">
        <f>"1743.84"</f>
        <v>1743.84</v>
      </c>
      <c r="M357" s="3" t="str">
        <f t="shared" si="172"/>
        <v>20240516</v>
      </c>
      <c r="N357" s="3" t="s">
        <v>681</v>
      </c>
    </row>
    <row r="358" spans="1:14">
      <c r="A358" s="3" t="str">
        <f>"661506211000001007"</f>
        <v>661506211000001007</v>
      </c>
      <c r="B358" s="3" t="s">
        <v>682</v>
      </c>
      <c r="C358" s="3" t="s">
        <v>16</v>
      </c>
      <c r="D358" s="3" t="str">
        <f t="shared" ref="D358:I358" si="191">"0"</f>
        <v>0</v>
      </c>
      <c r="E358" s="3" t="s">
        <v>17</v>
      </c>
      <c r="F358" s="3" t="s">
        <v>17</v>
      </c>
      <c r="G358" s="3" t="s">
        <v>25</v>
      </c>
      <c r="H358" s="3" t="str">
        <f t="shared" si="191"/>
        <v>0</v>
      </c>
      <c r="I358" s="3" t="str">
        <f t="shared" si="191"/>
        <v>0</v>
      </c>
      <c r="J358" s="3" t="str">
        <f>"6"</f>
        <v>6</v>
      </c>
      <c r="K358" s="3" t="str">
        <f>"3483.56"</f>
        <v>3483.56</v>
      </c>
      <c r="L358" s="3" t="str">
        <f>"2090.14"</f>
        <v>2090.14</v>
      </c>
      <c r="M358" s="3" t="str">
        <f t="shared" si="172"/>
        <v>20240516</v>
      </c>
      <c r="N358" s="3" t="s">
        <v>683</v>
      </c>
    </row>
    <row r="359" spans="1:14">
      <c r="A359" s="3" t="str">
        <f>"661506211000001001"</f>
        <v>661506211000001001</v>
      </c>
      <c r="B359" s="3" t="s">
        <v>684</v>
      </c>
      <c r="C359" s="3" t="s">
        <v>16</v>
      </c>
      <c r="D359" s="3" t="str">
        <f t="shared" ref="D359:I359" si="192">"0"</f>
        <v>0</v>
      </c>
      <c r="E359" s="3" t="s">
        <v>17</v>
      </c>
      <c r="F359" s="3" t="s">
        <v>17</v>
      </c>
      <c r="G359" s="3" t="s">
        <v>18</v>
      </c>
      <c r="H359" s="3" t="str">
        <f t="shared" si="192"/>
        <v>0</v>
      </c>
      <c r="I359" s="3" t="str">
        <f t="shared" si="192"/>
        <v>0</v>
      </c>
      <c r="J359" s="3" t="str">
        <f>"1"</f>
        <v>1</v>
      </c>
      <c r="K359" s="3" t="str">
        <f>"537.84"</f>
        <v>537.84</v>
      </c>
      <c r="L359" s="3" t="str">
        <f>"322.7"</f>
        <v>322.7</v>
      </c>
      <c r="M359" s="3" t="str">
        <f t="shared" si="172"/>
        <v>20240516</v>
      </c>
      <c r="N359" s="3" t="s">
        <v>685</v>
      </c>
    </row>
    <row r="360" spans="1:14">
      <c r="A360" s="3" t="str">
        <f>"661506211000000996"</f>
        <v>661506211000000996</v>
      </c>
      <c r="B360" s="3" t="s">
        <v>686</v>
      </c>
      <c r="C360" s="3" t="s">
        <v>16</v>
      </c>
      <c r="D360" s="3">
        <v>0.01</v>
      </c>
      <c r="E360" s="3" t="s">
        <v>17</v>
      </c>
      <c r="F360" s="3" t="s">
        <v>17</v>
      </c>
      <c r="G360" s="3" t="s">
        <v>140</v>
      </c>
      <c r="H360" s="3" t="str">
        <f t="shared" ref="H360:H363" si="193">"0"</f>
        <v>0</v>
      </c>
      <c r="I360" s="3" t="str">
        <f t="shared" ref="I360:I363" si="194">"0"</f>
        <v>0</v>
      </c>
      <c r="J360" s="3" t="str">
        <f>"180"</f>
        <v>180</v>
      </c>
      <c r="K360" s="3" t="str">
        <f>"134568.62"</f>
        <v>134568.62</v>
      </c>
      <c r="L360" s="3" t="str">
        <f>"80741.17"</f>
        <v>80741.17</v>
      </c>
      <c r="M360" s="3" t="str">
        <f t="shared" si="172"/>
        <v>20240516</v>
      </c>
      <c r="N360" s="3" t="str">
        <f>"911506216834090907"</f>
        <v>911506216834090907</v>
      </c>
    </row>
    <row r="361" spans="1:14">
      <c r="A361" s="3" t="str">
        <f>"661506211000000974"</f>
        <v>661506211000000974</v>
      </c>
      <c r="B361" s="3" t="s">
        <v>687</v>
      </c>
      <c r="C361" s="3" t="s">
        <v>16</v>
      </c>
      <c r="D361" s="3">
        <v>0.18</v>
      </c>
      <c r="E361" s="3" t="s">
        <v>17</v>
      </c>
      <c r="F361" s="3" t="s">
        <v>17</v>
      </c>
      <c r="G361" s="3" t="s">
        <v>18</v>
      </c>
      <c r="H361" s="3" t="str">
        <f t="shared" si="193"/>
        <v>0</v>
      </c>
      <c r="I361" s="3" t="str">
        <f t="shared" si="194"/>
        <v>0</v>
      </c>
      <c r="J361" s="3" t="str">
        <f>"28"</f>
        <v>28</v>
      </c>
      <c r="K361" s="3" t="str">
        <f>"20222.42"</f>
        <v>20222.42</v>
      </c>
      <c r="L361" s="3" t="str">
        <f>"12133.45"</f>
        <v>12133.45</v>
      </c>
      <c r="M361" s="3" t="str">
        <f t="shared" si="172"/>
        <v>20240516</v>
      </c>
      <c r="N361" s="3" t="str">
        <f>"911506215732737516"</f>
        <v>911506215732737516</v>
      </c>
    </row>
    <row r="362" spans="1:14">
      <c r="A362" s="3" t="str">
        <f>"661506211000000961"</f>
        <v>661506211000000961</v>
      </c>
      <c r="B362" s="3" t="s">
        <v>688</v>
      </c>
      <c r="C362" s="3" t="s">
        <v>16</v>
      </c>
      <c r="D362" s="3" t="str">
        <f t="shared" ref="D362:D365" si="195">"0"</f>
        <v>0</v>
      </c>
      <c r="E362" s="3" t="s">
        <v>17</v>
      </c>
      <c r="F362" s="3" t="s">
        <v>17</v>
      </c>
      <c r="G362" s="3" t="s">
        <v>18</v>
      </c>
      <c r="H362" s="3" t="str">
        <f t="shared" si="193"/>
        <v>0</v>
      </c>
      <c r="I362" s="3" t="str">
        <f t="shared" si="194"/>
        <v>0</v>
      </c>
      <c r="J362" s="3" t="str">
        <f>"1"</f>
        <v>1</v>
      </c>
      <c r="K362" s="3" t="str">
        <f>"537.84"</f>
        <v>537.84</v>
      </c>
      <c r="L362" s="3" t="str">
        <f>"322.7"</f>
        <v>322.7</v>
      </c>
      <c r="M362" s="3" t="str">
        <f t="shared" si="172"/>
        <v>20240516</v>
      </c>
      <c r="N362" s="3" t="s">
        <v>689</v>
      </c>
    </row>
    <row r="363" spans="1:14">
      <c r="A363" s="3" t="str">
        <f>"661506211000000931"</f>
        <v>661506211000000931</v>
      </c>
      <c r="B363" s="3" t="s">
        <v>690</v>
      </c>
      <c r="C363" s="3" t="s">
        <v>16</v>
      </c>
      <c r="D363" s="3" t="str">
        <f t="shared" si="195"/>
        <v>0</v>
      </c>
      <c r="E363" s="3" t="s">
        <v>17</v>
      </c>
      <c r="F363" s="3" t="s">
        <v>17</v>
      </c>
      <c r="G363" s="3" t="s">
        <v>18</v>
      </c>
      <c r="H363" s="3" t="str">
        <f t="shared" si="193"/>
        <v>0</v>
      </c>
      <c r="I363" s="3" t="str">
        <f t="shared" si="194"/>
        <v>0</v>
      </c>
      <c r="J363" s="3" t="str">
        <f>"2"</f>
        <v>2</v>
      </c>
      <c r="K363" s="3" t="str">
        <f>"1120.5"</f>
        <v>1120.5</v>
      </c>
      <c r="L363" s="3" t="str">
        <f>"672.3"</f>
        <v>672.3</v>
      </c>
      <c r="M363" s="3" t="str">
        <f t="shared" si="172"/>
        <v>20240516</v>
      </c>
      <c r="N363" s="3" t="s">
        <v>691</v>
      </c>
    </row>
    <row r="364" spans="1:14">
      <c r="A364" s="3" t="str">
        <f>"661506211000000927"</f>
        <v>661506211000000927</v>
      </c>
      <c r="B364" s="3" t="s">
        <v>692</v>
      </c>
      <c r="C364" s="3" t="s">
        <v>16</v>
      </c>
      <c r="D364" s="3" t="str">
        <f t="shared" si="195"/>
        <v>0</v>
      </c>
      <c r="E364" s="3" t="s">
        <v>17</v>
      </c>
      <c r="F364" s="3" t="s">
        <v>17</v>
      </c>
      <c r="G364" s="3" t="s">
        <v>693</v>
      </c>
      <c r="H364" s="3"/>
      <c r="I364" s="3"/>
      <c r="J364" s="3" t="str">
        <f>"118"</f>
        <v>118</v>
      </c>
      <c r="K364" s="3" t="str">
        <f>"218634.68"</f>
        <v>218634.68</v>
      </c>
      <c r="L364" s="3" t="str">
        <f>"65590.4"</f>
        <v>65590.4</v>
      </c>
      <c r="M364" s="3" t="str">
        <f t="shared" si="172"/>
        <v>20240516</v>
      </c>
      <c r="N364" s="3" t="str">
        <f>"911506211169950706"</f>
        <v>911506211169950706</v>
      </c>
    </row>
    <row r="365" spans="1:14">
      <c r="A365" s="3" t="str">
        <f>"661506211000000926"</f>
        <v>661506211000000926</v>
      </c>
      <c r="B365" s="3" t="s">
        <v>694</v>
      </c>
      <c r="C365" s="3" t="s">
        <v>16</v>
      </c>
      <c r="D365" s="3" t="str">
        <f t="shared" si="195"/>
        <v>0</v>
      </c>
      <c r="E365" s="3" t="s">
        <v>17</v>
      </c>
      <c r="F365" s="3" t="s">
        <v>17</v>
      </c>
      <c r="G365" s="3" t="s">
        <v>25</v>
      </c>
      <c r="H365" s="3" t="str">
        <f t="shared" ref="H365:H370" si="196">"0"</f>
        <v>0</v>
      </c>
      <c r="I365" s="3" t="str">
        <f t="shared" ref="I365:I370" si="197">"0"</f>
        <v>0</v>
      </c>
      <c r="J365" s="3" t="str">
        <f>"5"</f>
        <v>5</v>
      </c>
      <c r="K365" s="3" t="str">
        <f>"2689.2"</f>
        <v>2689.2</v>
      </c>
      <c r="L365" s="3" t="str">
        <f>"1613.52"</f>
        <v>1613.52</v>
      </c>
      <c r="M365" s="3" t="str">
        <f t="shared" si="172"/>
        <v>20240516</v>
      </c>
      <c r="N365" s="3" t="s">
        <v>695</v>
      </c>
    </row>
    <row r="366" spans="1:14">
      <c r="A366" s="3" t="str">
        <f>"661506211000000922"</f>
        <v>661506211000000922</v>
      </c>
      <c r="B366" s="3" t="s">
        <v>696</v>
      </c>
      <c r="C366" s="3" t="s">
        <v>16</v>
      </c>
      <c r="D366" s="3">
        <v>0.02</v>
      </c>
      <c r="E366" s="3" t="s">
        <v>17</v>
      </c>
      <c r="F366" s="3" t="s">
        <v>17</v>
      </c>
      <c r="G366" s="3" t="s">
        <v>140</v>
      </c>
      <c r="H366" s="3" t="str">
        <f t="shared" si="196"/>
        <v>0</v>
      </c>
      <c r="I366" s="3" t="str">
        <f t="shared" si="197"/>
        <v>0</v>
      </c>
      <c r="J366" s="3" t="str">
        <f>"54"</f>
        <v>54</v>
      </c>
      <c r="K366" s="3" t="str">
        <f>"29900.64"</f>
        <v>29900.64</v>
      </c>
      <c r="L366" s="3" t="str">
        <f>"17940.38"</f>
        <v>17940.38</v>
      </c>
      <c r="M366" s="3" t="str">
        <f t="shared" si="172"/>
        <v>20240516</v>
      </c>
      <c r="N366" s="3" t="s">
        <v>697</v>
      </c>
    </row>
    <row r="367" spans="1:14">
      <c r="A367" s="3" t="str">
        <f>"661506211000000890"</f>
        <v>661506211000000890</v>
      </c>
      <c r="B367" s="3" t="s">
        <v>698</v>
      </c>
      <c r="C367" s="3" t="s">
        <v>16</v>
      </c>
      <c r="D367" s="3" t="str">
        <f t="shared" ref="D367:D373" si="198">"0"</f>
        <v>0</v>
      </c>
      <c r="E367" s="3" t="s">
        <v>17</v>
      </c>
      <c r="F367" s="3" t="s">
        <v>17</v>
      </c>
      <c r="G367" s="3" t="s">
        <v>18</v>
      </c>
      <c r="H367" s="3" t="str">
        <f t="shared" si="196"/>
        <v>0</v>
      </c>
      <c r="I367" s="3" t="str">
        <f t="shared" si="197"/>
        <v>0</v>
      </c>
      <c r="J367" s="3" t="str">
        <f>"18"</f>
        <v>18</v>
      </c>
      <c r="K367" s="3" t="str">
        <f>"10274.08"</f>
        <v>10274.08</v>
      </c>
      <c r="L367" s="3" t="str">
        <f>"6164.45"</f>
        <v>6164.45</v>
      </c>
      <c r="M367" s="3" t="str">
        <f t="shared" si="172"/>
        <v>20240516</v>
      </c>
      <c r="N367" s="3" t="str">
        <f>"911506217678657556"</f>
        <v>911506217678657556</v>
      </c>
    </row>
    <row r="368" spans="1:14">
      <c r="A368" s="3" t="str">
        <f>"661506211000000887"</f>
        <v>661506211000000887</v>
      </c>
      <c r="B368" s="3" t="s">
        <v>699</v>
      </c>
      <c r="C368" s="3" t="s">
        <v>16</v>
      </c>
      <c r="D368" s="3" t="str">
        <f t="shared" si="198"/>
        <v>0</v>
      </c>
      <c r="E368" s="3" t="s">
        <v>17</v>
      </c>
      <c r="F368" s="3" t="s">
        <v>17</v>
      </c>
      <c r="G368" s="3" t="s">
        <v>25</v>
      </c>
      <c r="H368" s="3" t="str">
        <f t="shared" si="196"/>
        <v>0</v>
      </c>
      <c r="I368" s="3" t="str">
        <f t="shared" si="197"/>
        <v>0</v>
      </c>
      <c r="J368" s="3" t="str">
        <f>"7"</f>
        <v>7</v>
      </c>
      <c r="K368" s="3" t="str">
        <f>"4078.62"</f>
        <v>4078.62</v>
      </c>
      <c r="L368" s="3" t="str">
        <f>"2447.17"</f>
        <v>2447.17</v>
      </c>
      <c r="M368" s="3" t="str">
        <f t="shared" si="172"/>
        <v>20240516</v>
      </c>
      <c r="N368" s="3" t="s">
        <v>700</v>
      </c>
    </row>
    <row r="369" spans="1:14">
      <c r="A369" s="3" t="str">
        <f>"661506211000000880"</f>
        <v>661506211000000880</v>
      </c>
      <c r="B369" s="3" t="s">
        <v>701</v>
      </c>
      <c r="C369" s="3" t="s">
        <v>16</v>
      </c>
      <c r="D369" s="3" t="str">
        <f t="shared" si="198"/>
        <v>0</v>
      </c>
      <c r="E369" s="3" t="s">
        <v>17</v>
      </c>
      <c r="F369" s="3" t="s">
        <v>17</v>
      </c>
      <c r="G369" s="3" t="s">
        <v>25</v>
      </c>
      <c r="H369" s="3" t="str">
        <f t="shared" si="196"/>
        <v>0</v>
      </c>
      <c r="I369" s="3" t="str">
        <f t="shared" si="197"/>
        <v>0</v>
      </c>
      <c r="J369" s="3" t="str">
        <f>"1"</f>
        <v>1</v>
      </c>
      <c r="K369" s="3" t="str">
        <f>"537.84"</f>
        <v>537.84</v>
      </c>
      <c r="L369" s="3" t="str">
        <f>"322.7"</f>
        <v>322.7</v>
      </c>
      <c r="M369" s="3" t="str">
        <f t="shared" si="172"/>
        <v>20240516</v>
      </c>
      <c r="N369" s="3" t="str">
        <f>"911506213412799273"</f>
        <v>911506213412799273</v>
      </c>
    </row>
    <row r="370" spans="1:14">
      <c r="A370" s="3" t="str">
        <f>"661506211000000879"</f>
        <v>661506211000000879</v>
      </c>
      <c r="B370" s="3" t="s">
        <v>702</v>
      </c>
      <c r="C370" s="3" t="s">
        <v>16</v>
      </c>
      <c r="D370" s="3" t="str">
        <f t="shared" si="198"/>
        <v>0</v>
      </c>
      <c r="E370" s="3" t="s">
        <v>17</v>
      </c>
      <c r="F370" s="3" t="s">
        <v>17</v>
      </c>
      <c r="G370" s="3" t="s">
        <v>25</v>
      </c>
      <c r="H370" s="3" t="str">
        <f t="shared" si="196"/>
        <v>0</v>
      </c>
      <c r="I370" s="3" t="str">
        <f t="shared" si="197"/>
        <v>0</v>
      </c>
      <c r="J370" s="3" t="str">
        <f>"6"</f>
        <v>6</v>
      </c>
      <c r="K370" s="3" t="str">
        <f>"4826.6"</f>
        <v>4826.6</v>
      </c>
      <c r="L370" s="3" t="str">
        <f>"2895.96"</f>
        <v>2895.96</v>
      </c>
      <c r="M370" s="3" t="str">
        <f t="shared" si="172"/>
        <v>20240516</v>
      </c>
      <c r="N370" s="3" t="s">
        <v>703</v>
      </c>
    </row>
    <row r="371" spans="1:14">
      <c r="A371" s="3" t="str">
        <f>"661506211000000872"</f>
        <v>661506211000000872</v>
      </c>
      <c r="B371" s="3" t="s">
        <v>704</v>
      </c>
      <c r="C371" s="3" t="s">
        <v>16</v>
      </c>
      <c r="D371" s="3" t="str">
        <f t="shared" si="198"/>
        <v>0</v>
      </c>
      <c r="E371" s="3" t="s">
        <v>17</v>
      </c>
      <c r="F371" s="3" t="s">
        <v>17</v>
      </c>
      <c r="G371" s="3" t="s">
        <v>16</v>
      </c>
      <c r="H371" s="3"/>
      <c r="I371" s="3"/>
      <c r="J371" s="3" t="str">
        <f>"26"</f>
        <v>26</v>
      </c>
      <c r="K371" s="3" t="str">
        <f>"14163.12"</f>
        <v>14163.12</v>
      </c>
      <c r="L371" s="3" t="str">
        <f>"4248.94"</f>
        <v>4248.94</v>
      </c>
      <c r="M371" s="3" t="str">
        <f t="shared" si="172"/>
        <v>20240516</v>
      </c>
      <c r="N371" s="3" t="s">
        <v>705</v>
      </c>
    </row>
    <row r="372" spans="1:14">
      <c r="A372" s="3" t="str">
        <f>"661506211000000870"</f>
        <v>661506211000000870</v>
      </c>
      <c r="B372" s="3" t="s">
        <v>706</v>
      </c>
      <c r="C372" s="3" t="s">
        <v>16</v>
      </c>
      <c r="D372" s="3" t="str">
        <f t="shared" si="198"/>
        <v>0</v>
      </c>
      <c r="E372" s="3" t="s">
        <v>17</v>
      </c>
      <c r="F372" s="3" t="s">
        <v>17</v>
      </c>
      <c r="G372" s="3" t="s">
        <v>18</v>
      </c>
      <c r="H372" s="3" t="str">
        <f t="shared" ref="H372:H379" si="199">"0"</f>
        <v>0</v>
      </c>
      <c r="I372" s="3" t="str">
        <f t="shared" ref="I372:I399" si="200">"0"</f>
        <v>0</v>
      </c>
      <c r="J372" s="3" t="str">
        <f>"2"</f>
        <v>2</v>
      </c>
      <c r="K372" s="3" t="str">
        <f>"1498.02"</f>
        <v>1498.02</v>
      </c>
      <c r="L372" s="3" t="str">
        <f>"898.81"</f>
        <v>898.81</v>
      </c>
      <c r="M372" s="3" t="str">
        <f t="shared" si="172"/>
        <v>20240516</v>
      </c>
      <c r="N372" s="3" t="s">
        <v>707</v>
      </c>
    </row>
    <row r="373" spans="1:14">
      <c r="A373" s="3" t="str">
        <f>"661506211000000865"</f>
        <v>661506211000000865</v>
      </c>
      <c r="B373" s="3" t="s">
        <v>708</v>
      </c>
      <c r="C373" s="3" t="s">
        <v>16</v>
      </c>
      <c r="D373" s="3" t="str">
        <f t="shared" si="198"/>
        <v>0</v>
      </c>
      <c r="E373" s="3" t="s">
        <v>17</v>
      </c>
      <c r="F373" s="3" t="s">
        <v>17</v>
      </c>
      <c r="G373" s="3" t="s">
        <v>18</v>
      </c>
      <c r="H373" s="3" t="str">
        <f t="shared" si="199"/>
        <v>0</v>
      </c>
      <c r="I373" s="3" t="str">
        <f t="shared" si="200"/>
        <v>0</v>
      </c>
      <c r="J373" s="3" t="str">
        <f>"10"</f>
        <v>10</v>
      </c>
      <c r="K373" s="3" t="str">
        <f>"6059.96"</f>
        <v>6059.96</v>
      </c>
      <c r="L373" s="3" t="str">
        <f>"3635.98"</f>
        <v>3635.98</v>
      </c>
      <c r="M373" s="3" t="str">
        <f t="shared" si="172"/>
        <v>20240516</v>
      </c>
      <c r="N373" s="3" t="s">
        <v>709</v>
      </c>
    </row>
    <row r="374" spans="1:14">
      <c r="A374" s="3" t="str">
        <f>"661506211000000858"</f>
        <v>661506211000000858</v>
      </c>
      <c r="B374" s="3" t="s">
        <v>710</v>
      </c>
      <c r="C374" s="3" t="s">
        <v>16</v>
      </c>
      <c r="D374" s="3">
        <v>0.05</v>
      </c>
      <c r="E374" s="3" t="s">
        <v>17</v>
      </c>
      <c r="F374" s="3" t="s">
        <v>17</v>
      </c>
      <c r="G374" s="3" t="s">
        <v>18</v>
      </c>
      <c r="H374" s="3" t="str">
        <f t="shared" si="199"/>
        <v>0</v>
      </c>
      <c r="I374" s="3" t="str">
        <f t="shared" si="200"/>
        <v>0</v>
      </c>
      <c r="J374" s="3" t="str">
        <f>"44"</f>
        <v>44</v>
      </c>
      <c r="K374" s="3" t="str">
        <f>"29439.18"</f>
        <v>29439.18</v>
      </c>
      <c r="L374" s="3" t="str">
        <f>"17663.51"</f>
        <v>17663.51</v>
      </c>
      <c r="M374" s="3" t="str">
        <f t="shared" si="172"/>
        <v>20240516</v>
      </c>
      <c r="N374" s="3" t="str">
        <f>"911506217525758006"</f>
        <v>911506217525758006</v>
      </c>
    </row>
    <row r="375" spans="1:14">
      <c r="A375" s="3" t="str">
        <f>"661506211000000856"</f>
        <v>661506211000000856</v>
      </c>
      <c r="B375" s="3" t="s">
        <v>711</v>
      </c>
      <c r="C375" s="3" t="s">
        <v>16</v>
      </c>
      <c r="D375" s="3" t="str">
        <f t="shared" ref="D375:D381" si="201">"0"</f>
        <v>0</v>
      </c>
      <c r="E375" s="3" t="s">
        <v>17</v>
      </c>
      <c r="F375" s="3" t="s">
        <v>17</v>
      </c>
      <c r="G375" s="3" t="s">
        <v>140</v>
      </c>
      <c r="H375" s="3" t="str">
        <f t="shared" si="199"/>
        <v>0</v>
      </c>
      <c r="I375" s="3" t="str">
        <f t="shared" si="200"/>
        <v>0</v>
      </c>
      <c r="J375" s="3" t="str">
        <f>"919"</f>
        <v>919</v>
      </c>
      <c r="K375" s="3" t="str">
        <f>"513344.98"</f>
        <v>513344.98</v>
      </c>
      <c r="L375" s="3" t="str">
        <f>"308006.99"</f>
        <v>308006.99</v>
      </c>
      <c r="M375" s="3" t="str">
        <f t="shared" si="172"/>
        <v>20240516</v>
      </c>
      <c r="N375" s="3" t="s">
        <v>712</v>
      </c>
    </row>
    <row r="376" spans="1:14">
      <c r="A376" s="3" t="str">
        <f>"661506211000000853"</f>
        <v>661506211000000853</v>
      </c>
      <c r="B376" s="3" t="s">
        <v>713</v>
      </c>
      <c r="C376" s="3" t="s">
        <v>16</v>
      </c>
      <c r="D376" s="3" t="str">
        <f t="shared" si="201"/>
        <v>0</v>
      </c>
      <c r="E376" s="3" t="s">
        <v>17</v>
      </c>
      <c r="F376" s="3" t="s">
        <v>17</v>
      </c>
      <c r="G376" s="3" t="s">
        <v>18</v>
      </c>
      <c r="H376" s="3" t="str">
        <f t="shared" si="199"/>
        <v>0</v>
      </c>
      <c r="I376" s="3" t="str">
        <f t="shared" si="200"/>
        <v>0</v>
      </c>
      <c r="J376" s="3" t="str">
        <f>"13"</f>
        <v>13</v>
      </c>
      <c r="K376" s="3" t="str">
        <f>"7555.98"</f>
        <v>7555.98</v>
      </c>
      <c r="L376" s="3" t="str">
        <f>"4533.59"</f>
        <v>4533.59</v>
      </c>
      <c r="M376" s="3" t="str">
        <f t="shared" si="172"/>
        <v>20240516</v>
      </c>
      <c r="N376" s="3" t="s">
        <v>714</v>
      </c>
    </row>
    <row r="377" spans="1:14">
      <c r="A377" s="3" t="str">
        <f>"661506211000000851"</f>
        <v>661506211000000851</v>
      </c>
      <c r="B377" s="3" t="s">
        <v>715</v>
      </c>
      <c r="C377" s="3" t="s">
        <v>16</v>
      </c>
      <c r="D377" s="3" t="str">
        <f t="shared" si="201"/>
        <v>0</v>
      </c>
      <c r="E377" s="3" t="s">
        <v>17</v>
      </c>
      <c r="F377" s="3" t="s">
        <v>17</v>
      </c>
      <c r="G377" s="3" t="s">
        <v>140</v>
      </c>
      <c r="H377" s="3" t="str">
        <f t="shared" si="199"/>
        <v>0</v>
      </c>
      <c r="I377" s="3" t="str">
        <f t="shared" si="200"/>
        <v>0</v>
      </c>
      <c r="J377" s="3" t="str">
        <f>"6"</f>
        <v>6</v>
      </c>
      <c r="K377" s="3" t="str">
        <f>"4345.3"</f>
        <v>4345.3</v>
      </c>
      <c r="L377" s="3" t="str">
        <f>"2607.18"</f>
        <v>2607.18</v>
      </c>
      <c r="M377" s="3" t="str">
        <f t="shared" si="172"/>
        <v>20240516</v>
      </c>
      <c r="N377" s="3" t="str">
        <f>"911506217794843007"</f>
        <v>911506217794843007</v>
      </c>
    </row>
    <row r="378" spans="1:14">
      <c r="A378" s="3" t="str">
        <f>"661506211000000848"</f>
        <v>661506211000000848</v>
      </c>
      <c r="B378" s="3" t="s">
        <v>716</v>
      </c>
      <c r="C378" s="3" t="s">
        <v>16</v>
      </c>
      <c r="D378" s="3" t="str">
        <f t="shared" si="201"/>
        <v>0</v>
      </c>
      <c r="E378" s="3" t="s">
        <v>17</v>
      </c>
      <c r="F378" s="3" t="s">
        <v>17</v>
      </c>
      <c r="G378" s="3" t="s">
        <v>18</v>
      </c>
      <c r="H378" s="3" t="str">
        <f t="shared" si="199"/>
        <v>0</v>
      </c>
      <c r="I378" s="3" t="str">
        <f t="shared" si="200"/>
        <v>0</v>
      </c>
      <c r="J378" s="3" t="str">
        <f>"34"</f>
        <v>34</v>
      </c>
      <c r="K378" s="3" t="str">
        <f>"32951.74"</f>
        <v>32951.74</v>
      </c>
      <c r="L378" s="3" t="str">
        <f>"19771.04"</f>
        <v>19771.04</v>
      </c>
      <c r="M378" s="3" t="str">
        <f t="shared" si="172"/>
        <v>20240516</v>
      </c>
      <c r="N378" s="3" t="str">
        <f>"911506216928702331"</f>
        <v>911506216928702331</v>
      </c>
    </row>
    <row r="379" spans="1:14">
      <c r="A379" s="3" t="str">
        <f>"661506211000000808"</f>
        <v>661506211000000808</v>
      </c>
      <c r="B379" s="3" t="s">
        <v>717</v>
      </c>
      <c r="C379" s="3" t="s">
        <v>16</v>
      </c>
      <c r="D379" s="3" t="str">
        <f t="shared" si="201"/>
        <v>0</v>
      </c>
      <c r="E379" s="3" t="s">
        <v>17</v>
      </c>
      <c r="F379" s="3" t="s">
        <v>17</v>
      </c>
      <c r="G379" s="3" t="s">
        <v>18</v>
      </c>
      <c r="H379" s="3" t="str">
        <f t="shared" si="199"/>
        <v>0</v>
      </c>
      <c r="I379" s="3" t="str">
        <f t="shared" si="200"/>
        <v>0</v>
      </c>
      <c r="J379" s="3" t="str">
        <f>"421"</f>
        <v>421</v>
      </c>
      <c r="K379" s="3" t="str">
        <f>"768991.46"</f>
        <v>768991.46</v>
      </c>
      <c r="L379" s="3" t="str">
        <f>"461394.88"</f>
        <v>461394.88</v>
      </c>
      <c r="M379" s="3" t="str">
        <f t="shared" si="172"/>
        <v>20240516</v>
      </c>
      <c r="N379" s="3" t="s">
        <v>718</v>
      </c>
    </row>
    <row r="380" spans="1:14">
      <c r="A380" s="3" t="str">
        <f>"661506211000000801"</f>
        <v>661506211000000801</v>
      </c>
      <c r="B380" s="3" t="s">
        <v>719</v>
      </c>
      <c r="C380" s="3" t="s">
        <v>16</v>
      </c>
      <c r="D380" s="3" t="str">
        <f t="shared" si="201"/>
        <v>0</v>
      </c>
      <c r="E380" s="3" t="s">
        <v>17</v>
      </c>
      <c r="F380" s="3" t="s">
        <v>17</v>
      </c>
      <c r="G380" s="3" t="s">
        <v>25</v>
      </c>
      <c r="H380" s="3"/>
      <c r="I380" s="3" t="str">
        <f t="shared" si="200"/>
        <v>0</v>
      </c>
      <c r="J380" s="3" t="str">
        <f>"1"</f>
        <v>1</v>
      </c>
      <c r="K380" s="3" t="str">
        <f>"546"</f>
        <v>546</v>
      </c>
      <c r="L380" s="3" t="str">
        <f>"327.6"</f>
        <v>327.6</v>
      </c>
      <c r="M380" s="3" t="str">
        <f t="shared" si="172"/>
        <v>20240516</v>
      </c>
      <c r="N380" s="3" t="s">
        <v>720</v>
      </c>
    </row>
    <row r="381" spans="1:14">
      <c r="A381" s="3" t="str">
        <f>"661506211000000797"</f>
        <v>661506211000000797</v>
      </c>
      <c r="B381" s="3" t="s">
        <v>721</v>
      </c>
      <c r="C381" s="3" t="s">
        <v>16</v>
      </c>
      <c r="D381" s="3" t="str">
        <f t="shared" si="201"/>
        <v>0</v>
      </c>
      <c r="E381" s="3" t="s">
        <v>17</v>
      </c>
      <c r="F381" s="3" t="s">
        <v>17</v>
      </c>
      <c r="G381" s="3" t="s">
        <v>25</v>
      </c>
      <c r="H381" s="3" t="str">
        <f t="shared" ref="H381:H399" si="202">"0"</f>
        <v>0</v>
      </c>
      <c r="I381" s="3" t="str">
        <f t="shared" si="200"/>
        <v>0</v>
      </c>
      <c r="J381" s="3" t="str">
        <f>"7"</f>
        <v>7</v>
      </c>
      <c r="K381" s="3" t="str">
        <f>"3764.88"</f>
        <v>3764.88</v>
      </c>
      <c r="L381" s="3" t="str">
        <f>"2258.93"</f>
        <v>2258.93</v>
      </c>
      <c r="M381" s="3" t="str">
        <f t="shared" si="172"/>
        <v>20240516</v>
      </c>
      <c r="N381" s="3" t="s">
        <v>722</v>
      </c>
    </row>
    <row r="382" spans="1:14">
      <c r="A382" s="3" t="str">
        <f>"661506211000000790"</f>
        <v>661506211000000790</v>
      </c>
      <c r="B382" s="3" t="s">
        <v>723</v>
      </c>
      <c r="C382" s="3" t="s">
        <v>16</v>
      </c>
      <c r="D382" s="3">
        <v>0.02</v>
      </c>
      <c r="E382" s="3" t="s">
        <v>17</v>
      </c>
      <c r="F382" s="3" t="s">
        <v>17</v>
      </c>
      <c r="G382" s="3" t="s">
        <v>18</v>
      </c>
      <c r="H382" s="3" t="str">
        <f t="shared" si="202"/>
        <v>0</v>
      </c>
      <c r="I382" s="3" t="str">
        <f t="shared" si="200"/>
        <v>0</v>
      </c>
      <c r="J382" s="3" t="str">
        <f>"56"</f>
        <v>56</v>
      </c>
      <c r="K382" s="3" t="str">
        <f>"51488.3"</f>
        <v>51488.3</v>
      </c>
      <c r="L382" s="3" t="str">
        <f>"30892.98"</f>
        <v>30892.98</v>
      </c>
      <c r="M382" s="3" t="str">
        <f t="shared" si="172"/>
        <v>20240516</v>
      </c>
      <c r="N382" s="3" t="str">
        <f>"911506216928520008"</f>
        <v>911506216928520008</v>
      </c>
    </row>
    <row r="383" spans="1:14">
      <c r="A383" s="3" t="str">
        <f>"661506211000000773"</f>
        <v>661506211000000773</v>
      </c>
      <c r="B383" s="3" t="s">
        <v>724</v>
      </c>
      <c r="C383" s="3" t="s">
        <v>16</v>
      </c>
      <c r="D383" s="3" t="str">
        <f t="shared" ref="D383:D399" si="203">"0"</f>
        <v>0</v>
      </c>
      <c r="E383" s="3" t="s">
        <v>17</v>
      </c>
      <c r="F383" s="3" t="s">
        <v>17</v>
      </c>
      <c r="G383" s="3" t="s">
        <v>18</v>
      </c>
      <c r="H383" s="3" t="str">
        <f t="shared" si="202"/>
        <v>0</v>
      </c>
      <c r="I383" s="3" t="str">
        <f t="shared" si="200"/>
        <v>0</v>
      </c>
      <c r="J383" s="3" t="str">
        <f>"24"</f>
        <v>24</v>
      </c>
      <c r="K383" s="3" t="str">
        <f>"21688.22"</f>
        <v>21688.22</v>
      </c>
      <c r="L383" s="3" t="str">
        <f>"13012.93"</f>
        <v>13012.93</v>
      </c>
      <c r="M383" s="3" t="str">
        <f t="shared" si="172"/>
        <v>20240516</v>
      </c>
      <c r="N383" s="3" t="s">
        <v>725</v>
      </c>
    </row>
    <row r="384" spans="1:14">
      <c r="A384" s="3" t="str">
        <f>"661506211000000752"</f>
        <v>661506211000000752</v>
      </c>
      <c r="B384" s="3" t="s">
        <v>726</v>
      </c>
      <c r="C384" s="3" t="s">
        <v>16</v>
      </c>
      <c r="D384" s="3" t="str">
        <f t="shared" si="203"/>
        <v>0</v>
      </c>
      <c r="E384" s="3" t="s">
        <v>17</v>
      </c>
      <c r="F384" s="3" t="s">
        <v>17</v>
      </c>
      <c r="G384" s="3" t="s">
        <v>140</v>
      </c>
      <c r="H384" s="3" t="str">
        <f t="shared" si="202"/>
        <v>0</v>
      </c>
      <c r="I384" s="3" t="str">
        <f t="shared" si="200"/>
        <v>0</v>
      </c>
      <c r="J384" s="3" t="str">
        <f>"26"</f>
        <v>26</v>
      </c>
      <c r="K384" s="3" t="str">
        <f>"15014.48"</f>
        <v>15014.48</v>
      </c>
      <c r="L384" s="3" t="str">
        <f>"9008.69"</f>
        <v>9008.69</v>
      </c>
      <c r="M384" s="3" t="str">
        <f t="shared" si="172"/>
        <v>20240516</v>
      </c>
      <c r="N384" s="3" t="s">
        <v>727</v>
      </c>
    </row>
    <row r="385" spans="1:14">
      <c r="A385" s="3" t="str">
        <f>"661506211000000750"</f>
        <v>661506211000000750</v>
      </c>
      <c r="B385" s="3" t="s">
        <v>728</v>
      </c>
      <c r="C385" s="3" t="s">
        <v>16</v>
      </c>
      <c r="D385" s="3" t="str">
        <f t="shared" si="203"/>
        <v>0</v>
      </c>
      <c r="E385" s="3" t="s">
        <v>17</v>
      </c>
      <c r="F385" s="3" t="s">
        <v>17</v>
      </c>
      <c r="G385" s="3" t="s">
        <v>18</v>
      </c>
      <c r="H385" s="3" t="str">
        <f t="shared" si="202"/>
        <v>0</v>
      </c>
      <c r="I385" s="3" t="str">
        <f t="shared" si="200"/>
        <v>0</v>
      </c>
      <c r="J385" s="3" t="str">
        <f>"3"</f>
        <v>3</v>
      </c>
      <c r="K385" s="3" t="str">
        <f>"3360"</f>
        <v>3360</v>
      </c>
      <c r="L385" s="3" t="str">
        <f>"2016"</f>
        <v>2016</v>
      </c>
      <c r="M385" s="3" t="str">
        <f t="shared" si="172"/>
        <v>20240516</v>
      </c>
      <c r="N385" s="3" t="s">
        <v>729</v>
      </c>
    </row>
    <row r="386" spans="1:14">
      <c r="A386" s="3" t="str">
        <f>"661506211000000744"</f>
        <v>661506211000000744</v>
      </c>
      <c r="B386" s="3" t="s">
        <v>730</v>
      </c>
      <c r="C386" s="3" t="s">
        <v>16</v>
      </c>
      <c r="D386" s="3" t="str">
        <f t="shared" si="203"/>
        <v>0</v>
      </c>
      <c r="E386" s="3" t="s">
        <v>17</v>
      </c>
      <c r="F386" s="3" t="s">
        <v>17</v>
      </c>
      <c r="G386" s="3" t="s">
        <v>18</v>
      </c>
      <c r="H386" s="3" t="str">
        <f t="shared" si="202"/>
        <v>0</v>
      </c>
      <c r="I386" s="3" t="str">
        <f t="shared" si="200"/>
        <v>0</v>
      </c>
      <c r="J386" s="3" t="str">
        <f>"36"</f>
        <v>36</v>
      </c>
      <c r="K386" s="3" t="str">
        <f>"19525.86"</f>
        <v>19525.86</v>
      </c>
      <c r="L386" s="3" t="str">
        <f>"11715.52"</f>
        <v>11715.52</v>
      </c>
      <c r="M386" s="3" t="str">
        <f t="shared" si="172"/>
        <v>20240516</v>
      </c>
      <c r="N386" s="3" t="s">
        <v>731</v>
      </c>
    </row>
    <row r="387" spans="1:14">
      <c r="A387" s="3" t="str">
        <f>"661506211000000742"</f>
        <v>661506211000000742</v>
      </c>
      <c r="B387" s="3" t="s">
        <v>732</v>
      </c>
      <c r="C387" s="3" t="s">
        <v>16</v>
      </c>
      <c r="D387" s="3" t="str">
        <f t="shared" si="203"/>
        <v>0</v>
      </c>
      <c r="E387" s="3" t="s">
        <v>17</v>
      </c>
      <c r="F387" s="3" t="s">
        <v>17</v>
      </c>
      <c r="G387" s="3" t="s">
        <v>25</v>
      </c>
      <c r="H387" s="3" t="str">
        <f t="shared" si="202"/>
        <v>0</v>
      </c>
      <c r="I387" s="3" t="str">
        <f t="shared" si="200"/>
        <v>0</v>
      </c>
      <c r="J387" s="3" t="str">
        <f>"4"</f>
        <v>4</v>
      </c>
      <c r="K387" s="3" t="str">
        <f>"2151.36"</f>
        <v>2151.36</v>
      </c>
      <c r="L387" s="3" t="str">
        <f>"1290.82"</f>
        <v>1290.82</v>
      </c>
      <c r="M387" s="3" t="str">
        <f t="shared" ref="M387:M450" si="204">"20240516"</f>
        <v>20240516</v>
      </c>
      <c r="N387" s="3" t="s">
        <v>733</v>
      </c>
    </row>
    <row r="388" spans="1:14">
      <c r="A388" s="3" t="str">
        <f>"661506211000000740"</f>
        <v>661506211000000740</v>
      </c>
      <c r="B388" s="3" t="s">
        <v>734</v>
      </c>
      <c r="C388" s="3" t="s">
        <v>16</v>
      </c>
      <c r="D388" s="3" t="str">
        <f t="shared" si="203"/>
        <v>0</v>
      </c>
      <c r="E388" s="3" t="s">
        <v>17</v>
      </c>
      <c r="F388" s="3" t="s">
        <v>17</v>
      </c>
      <c r="G388" s="3" t="s">
        <v>25</v>
      </c>
      <c r="H388" s="3" t="str">
        <f t="shared" si="202"/>
        <v>0</v>
      </c>
      <c r="I388" s="3" t="str">
        <f t="shared" si="200"/>
        <v>0</v>
      </c>
      <c r="J388" s="3" t="str">
        <f>"43"</f>
        <v>43</v>
      </c>
      <c r="K388" s="3" t="str">
        <f>"45187.78"</f>
        <v>45187.78</v>
      </c>
      <c r="L388" s="3" t="str">
        <f>"27112.67"</f>
        <v>27112.67</v>
      </c>
      <c r="M388" s="3" t="str">
        <f t="shared" si="204"/>
        <v>20240516</v>
      </c>
      <c r="N388" s="3" t="s">
        <v>735</v>
      </c>
    </row>
    <row r="389" spans="1:14">
      <c r="A389" s="3" t="str">
        <f>"661506211000000716"</f>
        <v>661506211000000716</v>
      </c>
      <c r="B389" s="3" t="s">
        <v>736</v>
      </c>
      <c r="C389" s="3" t="s">
        <v>16</v>
      </c>
      <c r="D389" s="3" t="str">
        <f t="shared" si="203"/>
        <v>0</v>
      </c>
      <c r="E389" s="3" t="s">
        <v>17</v>
      </c>
      <c r="F389" s="3" t="s">
        <v>17</v>
      </c>
      <c r="G389" s="3" t="s">
        <v>18</v>
      </c>
      <c r="H389" s="3" t="str">
        <f t="shared" si="202"/>
        <v>0</v>
      </c>
      <c r="I389" s="3" t="str">
        <f t="shared" si="200"/>
        <v>0</v>
      </c>
      <c r="J389" s="3" t="str">
        <f>"27"</f>
        <v>27</v>
      </c>
      <c r="K389" s="3" t="str">
        <f>"30875.66"</f>
        <v>30875.66</v>
      </c>
      <c r="L389" s="3" t="str">
        <f>"18525.4"</f>
        <v>18525.4</v>
      </c>
      <c r="M389" s="3" t="str">
        <f t="shared" si="204"/>
        <v>20240516</v>
      </c>
      <c r="N389" s="3" t="s">
        <v>737</v>
      </c>
    </row>
    <row r="390" spans="1:14">
      <c r="A390" s="3" t="str">
        <f>"661506211000000715"</f>
        <v>661506211000000715</v>
      </c>
      <c r="B390" s="3" t="s">
        <v>738</v>
      </c>
      <c r="C390" s="3" t="s">
        <v>16</v>
      </c>
      <c r="D390" s="3" t="str">
        <f t="shared" si="203"/>
        <v>0</v>
      </c>
      <c r="E390" s="3" t="s">
        <v>17</v>
      </c>
      <c r="F390" s="3" t="s">
        <v>17</v>
      </c>
      <c r="G390" s="3" t="s">
        <v>18</v>
      </c>
      <c r="H390" s="3" t="str">
        <f t="shared" si="202"/>
        <v>0</v>
      </c>
      <c r="I390" s="3" t="str">
        <f t="shared" si="200"/>
        <v>0</v>
      </c>
      <c r="J390" s="3" t="str">
        <f>"5"</f>
        <v>5</v>
      </c>
      <c r="K390" s="3" t="str">
        <f>"3673.16"</f>
        <v>3673.16</v>
      </c>
      <c r="L390" s="3" t="str">
        <f>"2203.9"</f>
        <v>2203.9</v>
      </c>
      <c r="M390" s="3" t="str">
        <f t="shared" si="204"/>
        <v>20240516</v>
      </c>
      <c r="N390" s="3" t="str">
        <f>"911506216640614128"</f>
        <v>911506216640614128</v>
      </c>
    </row>
    <row r="391" spans="1:14">
      <c r="A391" s="3" t="str">
        <f>"661506211000000692"</f>
        <v>661506211000000692</v>
      </c>
      <c r="B391" s="3" t="s">
        <v>739</v>
      </c>
      <c r="C391" s="3" t="s">
        <v>16</v>
      </c>
      <c r="D391" s="3" t="str">
        <f t="shared" si="203"/>
        <v>0</v>
      </c>
      <c r="E391" s="3" t="s">
        <v>17</v>
      </c>
      <c r="F391" s="3" t="s">
        <v>17</v>
      </c>
      <c r="G391" s="3" t="s">
        <v>18</v>
      </c>
      <c r="H391" s="3" t="str">
        <f t="shared" si="202"/>
        <v>0</v>
      </c>
      <c r="I391" s="3" t="str">
        <f t="shared" si="200"/>
        <v>0</v>
      </c>
      <c r="J391" s="3" t="str">
        <f>"11"</f>
        <v>11</v>
      </c>
      <c r="K391" s="3" t="str">
        <f>"11484"</f>
        <v>11484</v>
      </c>
      <c r="L391" s="3" t="str">
        <f>"6890.4"</f>
        <v>6890.4</v>
      </c>
      <c r="M391" s="3" t="str">
        <f t="shared" si="204"/>
        <v>20240516</v>
      </c>
      <c r="N391" s="3" t="s">
        <v>740</v>
      </c>
    </row>
    <row r="392" spans="1:14">
      <c r="A392" s="3" t="str">
        <f>"661506211000000690"</f>
        <v>661506211000000690</v>
      </c>
      <c r="B392" s="3" t="s">
        <v>741</v>
      </c>
      <c r="C392" s="3" t="s">
        <v>16</v>
      </c>
      <c r="D392" s="3" t="str">
        <f t="shared" si="203"/>
        <v>0</v>
      </c>
      <c r="E392" s="3" t="s">
        <v>17</v>
      </c>
      <c r="F392" s="3" t="s">
        <v>17</v>
      </c>
      <c r="G392" s="3" t="s">
        <v>25</v>
      </c>
      <c r="H392" s="3" t="str">
        <f t="shared" si="202"/>
        <v>0</v>
      </c>
      <c r="I392" s="3" t="str">
        <f t="shared" si="200"/>
        <v>0</v>
      </c>
      <c r="J392" s="3" t="str">
        <f>"18"</f>
        <v>18</v>
      </c>
      <c r="K392" s="3" t="str">
        <f>"10174.14"</f>
        <v>10174.14</v>
      </c>
      <c r="L392" s="3" t="str">
        <f>"6104.48"</f>
        <v>6104.48</v>
      </c>
      <c r="M392" s="3" t="str">
        <f t="shared" si="204"/>
        <v>20240516</v>
      </c>
      <c r="N392" s="3" t="str">
        <f>"911506216609956214"</f>
        <v>911506216609956214</v>
      </c>
    </row>
    <row r="393" spans="1:14">
      <c r="A393" s="3" t="str">
        <f>"661506211000000687"</f>
        <v>661506211000000687</v>
      </c>
      <c r="B393" s="3" t="s">
        <v>742</v>
      </c>
      <c r="C393" s="3" t="s">
        <v>16</v>
      </c>
      <c r="D393" s="3" t="str">
        <f t="shared" si="203"/>
        <v>0</v>
      </c>
      <c r="E393" s="3" t="s">
        <v>17</v>
      </c>
      <c r="F393" s="3" t="s">
        <v>17</v>
      </c>
      <c r="G393" s="3" t="s">
        <v>140</v>
      </c>
      <c r="H393" s="3" t="str">
        <f t="shared" si="202"/>
        <v>0</v>
      </c>
      <c r="I393" s="3" t="str">
        <f t="shared" si="200"/>
        <v>0</v>
      </c>
      <c r="J393" s="3" t="str">
        <f>"1471"</f>
        <v>1471</v>
      </c>
      <c r="K393" s="3" t="str">
        <f>"3179164.86"</f>
        <v>3179164.86</v>
      </c>
      <c r="L393" s="3" t="str">
        <f>"1907498.92"</f>
        <v>1907498.92</v>
      </c>
      <c r="M393" s="3" t="str">
        <f t="shared" si="204"/>
        <v>20240516</v>
      </c>
      <c r="N393" s="3" t="s">
        <v>743</v>
      </c>
    </row>
    <row r="394" spans="1:14">
      <c r="A394" s="3" t="str">
        <f>"661506211000000681"</f>
        <v>661506211000000681</v>
      </c>
      <c r="B394" s="3" t="s">
        <v>744</v>
      </c>
      <c r="C394" s="3" t="s">
        <v>16</v>
      </c>
      <c r="D394" s="3" t="str">
        <f t="shared" si="203"/>
        <v>0</v>
      </c>
      <c r="E394" s="3" t="s">
        <v>17</v>
      </c>
      <c r="F394" s="3" t="s">
        <v>17</v>
      </c>
      <c r="G394" s="3" t="s">
        <v>18</v>
      </c>
      <c r="H394" s="3" t="str">
        <f t="shared" si="202"/>
        <v>0</v>
      </c>
      <c r="I394" s="3" t="str">
        <f t="shared" si="200"/>
        <v>0</v>
      </c>
      <c r="J394" s="3" t="str">
        <f>"3"</f>
        <v>3</v>
      </c>
      <c r="K394" s="3" t="str">
        <f>"1784.34"</f>
        <v>1784.34</v>
      </c>
      <c r="L394" s="3" t="str">
        <f>"1070.6"</f>
        <v>1070.6</v>
      </c>
      <c r="M394" s="3" t="str">
        <f t="shared" si="204"/>
        <v>20240516</v>
      </c>
      <c r="N394" s="3" t="s">
        <v>745</v>
      </c>
    </row>
    <row r="395" spans="1:14">
      <c r="A395" s="3" t="str">
        <f>"661506211000000677"</f>
        <v>661506211000000677</v>
      </c>
      <c r="B395" s="3" t="s">
        <v>746</v>
      </c>
      <c r="C395" s="3" t="s">
        <v>16</v>
      </c>
      <c r="D395" s="3" t="str">
        <f t="shared" si="203"/>
        <v>0</v>
      </c>
      <c r="E395" s="3" t="s">
        <v>17</v>
      </c>
      <c r="F395" s="3" t="s">
        <v>17</v>
      </c>
      <c r="G395" s="3" t="s">
        <v>693</v>
      </c>
      <c r="H395" s="3" t="str">
        <f t="shared" si="202"/>
        <v>0</v>
      </c>
      <c r="I395" s="3" t="str">
        <f t="shared" si="200"/>
        <v>0</v>
      </c>
      <c r="J395" s="3" t="str">
        <f>"19"</f>
        <v>19</v>
      </c>
      <c r="K395" s="3" t="str">
        <f>"17279.32"</f>
        <v>17279.32</v>
      </c>
      <c r="L395" s="3" t="str">
        <f>"5183.8"</f>
        <v>5183.8</v>
      </c>
      <c r="M395" s="3" t="str">
        <f t="shared" si="204"/>
        <v>20240516</v>
      </c>
      <c r="N395" s="3" t="s">
        <v>747</v>
      </c>
    </row>
    <row r="396" spans="1:14">
      <c r="A396" s="3" t="str">
        <f>"661506211000000675"</f>
        <v>661506211000000675</v>
      </c>
      <c r="B396" s="3" t="s">
        <v>748</v>
      </c>
      <c r="C396" s="3" t="s">
        <v>16</v>
      </c>
      <c r="D396" s="3" t="str">
        <f t="shared" si="203"/>
        <v>0</v>
      </c>
      <c r="E396" s="3" t="s">
        <v>17</v>
      </c>
      <c r="F396" s="3" t="s">
        <v>17</v>
      </c>
      <c r="G396" s="3" t="s">
        <v>25</v>
      </c>
      <c r="H396" s="3" t="str">
        <f t="shared" si="202"/>
        <v>0</v>
      </c>
      <c r="I396" s="3" t="str">
        <f t="shared" si="200"/>
        <v>0</v>
      </c>
      <c r="J396" s="3" t="str">
        <f>"15"</f>
        <v>15</v>
      </c>
      <c r="K396" s="3" t="str">
        <f>"31313.72"</f>
        <v>31313.72</v>
      </c>
      <c r="L396" s="3" t="str">
        <f>"18788.23"</f>
        <v>18788.23</v>
      </c>
      <c r="M396" s="3" t="str">
        <f t="shared" si="204"/>
        <v>20240516</v>
      </c>
      <c r="N396" s="3" t="s">
        <v>749</v>
      </c>
    </row>
    <row r="397" spans="1:14">
      <c r="A397" s="3" t="str">
        <f>"661506211000000673"</f>
        <v>661506211000000673</v>
      </c>
      <c r="B397" s="3" t="s">
        <v>750</v>
      </c>
      <c r="C397" s="3" t="s">
        <v>16</v>
      </c>
      <c r="D397" s="3" t="str">
        <f t="shared" si="203"/>
        <v>0</v>
      </c>
      <c r="E397" s="3" t="s">
        <v>17</v>
      </c>
      <c r="F397" s="3" t="s">
        <v>17</v>
      </c>
      <c r="G397" s="3" t="s">
        <v>18</v>
      </c>
      <c r="H397" s="3" t="str">
        <f t="shared" si="202"/>
        <v>0</v>
      </c>
      <c r="I397" s="3" t="str">
        <f t="shared" si="200"/>
        <v>0</v>
      </c>
      <c r="J397" s="3" t="str">
        <f>"15"</f>
        <v>15</v>
      </c>
      <c r="K397" s="3" t="str">
        <f>"8629.14"</f>
        <v>8629.14</v>
      </c>
      <c r="L397" s="3" t="str">
        <f>"5177.48"</f>
        <v>5177.48</v>
      </c>
      <c r="M397" s="3" t="str">
        <f t="shared" si="204"/>
        <v>20240516</v>
      </c>
      <c r="N397" s="3" t="s">
        <v>751</v>
      </c>
    </row>
    <row r="398" spans="1:14">
      <c r="A398" s="3" t="str">
        <f>"661506211000000668"</f>
        <v>661506211000000668</v>
      </c>
      <c r="B398" s="3" t="s">
        <v>752</v>
      </c>
      <c r="C398" s="3" t="s">
        <v>16</v>
      </c>
      <c r="D398" s="3" t="str">
        <f t="shared" si="203"/>
        <v>0</v>
      </c>
      <c r="E398" s="3" t="s">
        <v>17</v>
      </c>
      <c r="F398" s="3" t="s">
        <v>17</v>
      </c>
      <c r="G398" s="3" t="s">
        <v>140</v>
      </c>
      <c r="H398" s="3" t="str">
        <f t="shared" si="202"/>
        <v>0</v>
      </c>
      <c r="I398" s="3" t="str">
        <f t="shared" si="200"/>
        <v>0</v>
      </c>
      <c r="J398" s="3" t="str">
        <f>"42"</f>
        <v>42</v>
      </c>
      <c r="K398" s="3" t="str">
        <f>"27541.12"</f>
        <v>27541.12</v>
      </c>
      <c r="L398" s="3" t="str">
        <f>"16524.67"</f>
        <v>16524.67</v>
      </c>
      <c r="M398" s="3" t="str">
        <f t="shared" si="204"/>
        <v>20240516</v>
      </c>
      <c r="N398" s="3" t="s">
        <v>753</v>
      </c>
    </row>
    <row r="399" spans="1:14">
      <c r="A399" s="3" t="str">
        <f>"661506211000000667"</f>
        <v>661506211000000667</v>
      </c>
      <c r="B399" s="3" t="s">
        <v>754</v>
      </c>
      <c r="C399" s="3" t="s">
        <v>16</v>
      </c>
      <c r="D399" s="3" t="str">
        <f t="shared" si="203"/>
        <v>0</v>
      </c>
      <c r="E399" s="3" t="s">
        <v>17</v>
      </c>
      <c r="F399" s="3" t="s">
        <v>17</v>
      </c>
      <c r="G399" s="3" t="s">
        <v>140</v>
      </c>
      <c r="H399" s="3" t="str">
        <f t="shared" si="202"/>
        <v>0</v>
      </c>
      <c r="I399" s="3" t="str">
        <f t="shared" si="200"/>
        <v>0</v>
      </c>
      <c r="J399" s="3" t="str">
        <f>"95"</f>
        <v>95</v>
      </c>
      <c r="K399" s="3" t="str">
        <f>"77025.4"</f>
        <v>77025.4</v>
      </c>
      <c r="L399" s="3" t="str">
        <f>"46215.24"</f>
        <v>46215.24</v>
      </c>
      <c r="M399" s="3" t="str">
        <f t="shared" si="204"/>
        <v>20240516</v>
      </c>
      <c r="N399" s="3" t="s">
        <v>755</v>
      </c>
    </row>
    <row r="400" spans="1:14">
      <c r="A400" s="3" t="str">
        <f>"661506211000000652"</f>
        <v>661506211000000652</v>
      </c>
      <c r="B400" s="3" t="s">
        <v>756</v>
      </c>
      <c r="C400" s="3" t="s">
        <v>16</v>
      </c>
      <c r="D400" s="3">
        <v>0.01</v>
      </c>
      <c r="E400" s="3" t="s">
        <v>17</v>
      </c>
      <c r="F400" s="3" t="s">
        <v>17</v>
      </c>
      <c r="G400" s="3" t="s">
        <v>140</v>
      </c>
      <c r="H400" s="3"/>
      <c r="I400" s="3"/>
      <c r="J400" s="3" t="str">
        <f>"903"</f>
        <v>903</v>
      </c>
      <c r="K400" s="3" t="str">
        <f>"1990010.96"</f>
        <v>1990010.96</v>
      </c>
      <c r="L400" s="3" t="str">
        <f>"1194006.58"</f>
        <v>1194006.58</v>
      </c>
      <c r="M400" s="3" t="str">
        <f t="shared" si="204"/>
        <v>20240516</v>
      </c>
      <c r="N400" s="3" t="s">
        <v>757</v>
      </c>
    </row>
    <row r="401" spans="1:14">
      <c r="A401" s="3" t="str">
        <f>"661506211000000636"</f>
        <v>661506211000000636</v>
      </c>
      <c r="B401" s="3" t="s">
        <v>758</v>
      </c>
      <c r="C401" s="3" t="s">
        <v>16</v>
      </c>
      <c r="D401" s="3">
        <v>0.02</v>
      </c>
      <c r="E401" s="3" t="s">
        <v>17</v>
      </c>
      <c r="F401" s="3" t="s">
        <v>17</v>
      </c>
      <c r="G401" s="3" t="s">
        <v>18</v>
      </c>
      <c r="H401" s="3" t="str">
        <f>"0"</f>
        <v>0</v>
      </c>
      <c r="I401" s="3" t="str">
        <f>"0"</f>
        <v>0</v>
      </c>
      <c r="J401" s="3" t="str">
        <f>"177"</f>
        <v>177</v>
      </c>
      <c r="K401" s="3" t="str">
        <f>"167400.16"</f>
        <v>167400.16</v>
      </c>
      <c r="L401" s="3" t="str">
        <f>"100440.1"</f>
        <v>100440.1</v>
      </c>
      <c r="M401" s="3" t="str">
        <f t="shared" si="204"/>
        <v>20240516</v>
      </c>
      <c r="N401" s="3" t="s">
        <v>759</v>
      </c>
    </row>
    <row r="402" spans="1:14">
      <c r="A402" s="3" t="str">
        <f>"661506211000000617"</f>
        <v>661506211000000617</v>
      </c>
      <c r="B402" s="3" t="s">
        <v>760</v>
      </c>
      <c r="C402" s="3" t="s">
        <v>16</v>
      </c>
      <c r="D402" s="3" t="str">
        <f t="shared" ref="D402:I402" si="205">"0"</f>
        <v>0</v>
      </c>
      <c r="E402" s="3" t="s">
        <v>17</v>
      </c>
      <c r="F402" s="3" t="s">
        <v>17</v>
      </c>
      <c r="G402" s="3" t="s">
        <v>16</v>
      </c>
      <c r="H402" s="3" t="str">
        <f t="shared" si="205"/>
        <v>0</v>
      </c>
      <c r="I402" s="3" t="str">
        <f t="shared" si="205"/>
        <v>0</v>
      </c>
      <c r="J402" s="3" t="str">
        <f>"71"</f>
        <v>71</v>
      </c>
      <c r="K402" s="3" t="str">
        <f>"56082.28"</f>
        <v>56082.28</v>
      </c>
      <c r="L402" s="3" t="str">
        <f>"16824.68"</f>
        <v>16824.68</v>
      </c>
      <c r="M402" s="3" t="str">
        <f t="shared" si="204"/>
        <v>20240516</v>
      </c>
      <c r="N402" s="3" t="s">
        <v>761</v>
      </c>
    </row>
    <row r="403" spans="1:15">
      <c r="A403" s="3" t="str">
        <f>"661506211000000616"</f>
        <v>661506211000000616</v>
      </c>
      <c r="B403" s="3" t="s">
        <v>762</v>
      </c>
      <c r="C403" s="3" t="s">
        <v>16</v>
      </c>
      <c r="D403" s="3" t="str">
        <f t="shared" ref="D403:I403" si="206">"0"</f>
        <v>0</v>
      </c>
      <c r="E403" s="3" t="s">
        <v>17</v>
      </c>
      <c r="F403" s="3" t="s">
        <v>17</v>
      </c>
      <c r="G403" s="3" t="s">
        <v>693</v>
      </c>
      <c r="H403" s="3" t="str">
        <f t="shared" si="206"/>
        <v>0</v>
      </c>
      <c r="I403" s="3" t="str">
        <f t="shared" si="206"/>
        <v>0</v>
      </c>
      <c r="J403" s="3" t="str">
        <f>"1259"</f>
        <v>1259</v>
      </c>
      <c r="K403" s="3" t="str">
        <f>"986272.14"</f>
        <v>986272.14</v>
      </c>
      <c r="L403" s="3" t="str">
        <f>"295881.64"</f>
        <v>295881.64</v>
      </c>
      <c r="M403" s="3" t="str">
        <f t="shared" si="204"/>
        <v>20240516</v>
      </c>
      <c r="N403" s="3" t="s">
        <v>763</v>
      </c>
      <c r="O403" s="3"/>
    </row>
    <row r="404" spans="1:15">
      <c r="A404" s="3" t="str">
        <f>"661506211000000615"</f>
        <v>661506211000000615</v>
      </c>
      <c r="B404" s="3" t="s">
        <v>764</v>
      </c>
      <c r="C404" s="3" t="s">
        <v>16</v>
      </c>
      <c r="D404" s="3" t="str">
        <f t="shared" ref="D404:I404" si="207">"0"</f>
        <v>0</v>
      </c>
      <c r="E404" s="3" t="s">
        <v>17</v>
      </c>
      <c r="F404" s="3" t="s">
        <v>17</v>
      </c>
      <c r="G404" s="3" t="s">
        <v>140</v>
      </c>
      <c r="H404" s="3" t="str">
        <f t="shared" si="207"/>
        <v>0</v>
      </c>
      <c r="I404" s="3" t="str">
        <f t="shared" si="207"/>
        <v>0</v>
      </c>
      <c r="J404" s="3" t="str">
        <f>"632"</f>
        <v>632</v>
      </c>
      <c r="K404" s="3" t="str">
        <f>"366114.02"</f>
        <v>366114.02</v>
      </c>
      <c r="L404" s="3" t="str">
        <f>"219668.41"</f>
        <v>219668.41</v>
      </c>
      <c r="M404" s="3" t="str">
        <f t="shared" si="204"/>
        <v>20240516</v>
      </c>
      <c r="N404" s="3" t="s">
        <v>765</v>
      </c>
      <c r="O404" s="3"/>
    </row>
    <row r="405" spans="1:15">
      <c r="A405" s="3" t="str">
        <f>"661506211000000612"</f>
        <v>661506211000000612</v>
      </c>
      <c r="B405" s="3" t="s">
        <v>766</v>
      </c>
      <c r="C405" s="3" t="s">
        <v>16</v>
      </c>
      <c r="D405" s="3" t="str">
        <f t="shared" ref="D405:I405" si="208">"0"</f>
        <v>0</v>
      </c>
      <c r="E405" s="3" t="s">
        <v>17</v>
      </c>
      <c r="F405" s="3" t="s">
        <v>17</v>
      </c>
      <c r="G405" s="3" t="s">
        <v>18</v>
      </c>
      <c r="H405" s="3" t="str">
        <f t="shared" si="208"/>
        <v>0</v>
      </c>
      <c r="I405" s="3" t="str">
        <f t="shared" si="208"/>
        <v>0</v>
      </c>
      <c r="J405" s="3" t="str">
        <f>"27"</f>
        <v>27</v>
      </c>
      <c r="K405" s="3" t="str">
        <f>"14521.68"</f>
        <v>14521.68</v>
      </c>
      <c r="L405" s="3" t="str">
        <f>"8713.01"</f>
        <v>8713.01</v>
      </c>
      <c r="M405" s="3" t="str">
        <f t="shared" si="204"/>
        <v>20240516</v>
      </c>
      <c r="N405" s="3" t="s">
        <v>767</v>
      </c>
      <c r="O405" s="3"/>
    </row>
    <row r="406" spans="1:15">
      <c r="A406" s="3" t="str">
        <f>"661506211000000611"</f>
        <v>661506211000000611</v>
      </c>
      <c r="B406" s="3" t="s">
        <v>768</v>
      </c>
      <c r="C406" s="3" t="s">
        <v>16</v>
      </c>
      <c r="D406" s="3" t="str">
        <f t="shared" ref="D406:I406" si="209">"0"</f>
        <v>0</v>
      </c>
      <c r="E406" s="3" t="s">
        <v>17</v>
      </c>
      <c r="F406" s="3" t="s">
        <v>17</v>
      </c>
      <c r="G406" s="3" t="s">
        <v>25</v>
      </c>
      <c r="H406" s="3" t="str">
        <f t="shared" si="209"/>
        <v>0</v>
      </c>
      <c r="I406" s="3" t="str">
        <f t="shared" si="209"/>
        <v>0</v>
      </c>
      <c r="J406" s="3" t="str">
        <f>"13"</f>
        <v>13</v>
      </c>
      <c r="K406" s="3" t="str">
        <f>"18613.78"</f>
        <v>18613.78</v>
      </c>
      <c r="L406" s="3" t="str">
        <f>"11168.27"</f>
        <v>11168.27</v>
      </c>
      <c r="M406" s="3" t="str">
        <f t="shared" si="204"/>
        <v>20240516</v>
      </c>
      <c r="N406" s="3" t="str">
        <f>"911506217761122531"</f>
        <v>911506217761122531</v>
      </c>
      <c r="O406" s="3"/>
    </row>
    <row r="407" spans="1:15">
      <c r="A407" s="3" t="str">
        <f>"661506211000000610"</f>
        <v>661506211000000610</v>
      </c>
      <c r="B407" s="3" t="s">
        <v>769</v>
      </c>
      <c r="C407" s="3" t="s">
        <v>16</v>
      </c>
      <c r="D407" s="3" t="str">
        <f t="shared" ref="D407:I407" si="210">"0"</f>
        <v>0</v>
      </c>
      <c r="E407" s="3" t="s">
        <v>17</v>
      </c>
      <c r="F407" s="3" t="s">
        <v>17</v>
      </c>
      <c r="G407" s="3" t="s">
        <v>18</v>
      </c>
      <c r="H407" s="3" t="str">
        <f t="shared" si="210"/>
        <v>0</v>
      </c>
      <c r="I407" s="3" t="str">
        <f t="shared" si="210"/>
        <v>0</v>
      </c>
      <c r="J407" s="3" t="str">
        <f>"25"</f>
        <v>25</v>
      </c>
      <c r="K407" s="3" t="str">
        <f>"14367.1"</f>
        <v>14367.1</v>
      </c>
      <c r="L407" s="3" t="str">
        <f>"8620.26"</f>
        <v>8620.26</v>
      </c>
      <c r="M407" s="3" t="str">
        <f t="shared" si="204"/>
        <v>20240516</v>
      </c>
      <c r="N407" s="3" t="s">
        <v>770</v>
      </c>
      <c r="O407" s="3"/>
    </row>
    <row r="408" spans="1:15">
      <c r="A408" s="3" t="str">
        <f>"661506211000000604"</f>
        <v>661506211000000604</v>
      </c>
      <c r="B408" s="3" t="s">
        <v>771</v>
      </c>
      <c r="C408" s="3" t="s">
        <v>16</v>
      </c>
      <c r="D408" s="3" t="str">
        <f t="shared" ref="D408:I408" si="211">"0"</f>
        <v>0</v>
      </c>
      <c r="E408" s="3" t="s">
        <v>17</v>
      </c>
      <c r="F408" s="3" t="s">
        <v>17</v>
      </c>
      <c r="G408" s="3" t="s">
        <v>25</v>
      </c>
      <c r="H408" s="3" t="str">
        <f t="shared" si="211"/>
        <v>0</v>
      </c>
      <c r="I408" s="3" t="str">
        <f t="shared" si="211"/>
        <v>0</v>
      </c>
      <c r="J408" s="3" t="str">
        <f>"2"</f>
        <v>2</v>
      </c>
      <c r="K408" s="3" t="str">
        <f>"1075.68"</f>
        <v>1075.68</v>
      </c>
      <c r="L408" s="3" t="str">
        <f>"645.41"</f>
        <v>645.41</v>
      </c>
      <c r="M408" s="3" t="str">
        <f t="shared" si="204"/>
        <v>20240516</v>
      </c>
      <c r="N408" s="3" t="str">
        <f>"911506217361385395"</f>
        <v>911506217361385395</v>
      </c>
      <c r="O408" s="3"/>
    </row>
    <row r="409" spans="1:15">
      <c r="A409" s="3" t="str">
        <f>"661506211000000603"</f>
        <v>661506211000000603</v>
      </c>
      <c r="B409" s="3" t="s">
        <v>772</v>
      </c>
      <c r="C409" s="3" t="s">
        <v>16</v>
      </c>
      <c r="D409" s="3" t="str">
        <f t="shared" ref="D409:I409" si="212">"0"</f>
        <v>0</v>
      </c>
      <c r="E409" s="3" t="s">
        <v>17</v>
      </c>
      <c r="F409" s="3" t="s">
        <v>17</v>
      </c>
      <c r="G409" s="3" t="s">
        <v>140</v>
      </c>
      <c r="H409" s="3" t="str">
        <f t="shared" si="212"/>
        <v>0</v>
      </c>
      <c r="I409" s="3" t="str">
        <f t="shared" si="212"/>
        <v>0</v>
      </c>
      <c r="J409" s="3" t="str">
        <f>"80"</f>
        <v>80</v>
      </c>
      <c r="K409" s="3" t="str">
        <f>"100053.56"</f>
        <v>100053.56</v>
      </c>
      <c r="L409" s="3" t="str">
        <f>"60032.14"</f>
        <v>60032.14</v>
      </c>
      <c r="M409" s="3" t="str">
        <f t="shared" si="204"/>
        <v>20240516</v>
      </c>
      <c r="N409" s="3" t="str">
        <f>"911506007971700307"</f>
        <v>911506007971700307</v>
      </c>
      <c r="O409" s="3"/>
    </row>
    <row r="410" spans="1:15">
      <c r="A410" s="3" t="str">
        <f>"661506211000000601"</f>
        <v>661506211000000601</v>
      </c>
      <c r="B410" s="3" t="s">
        <v>773</v>
      </c>
      <c r="C410" s="3" t="s">
        <v>16</v>
      </c>
      <c r="D410" s="3" t="str">
        <f t="shared" ref="D410:I410" si="213">"0"</f>
        <v>0</v>
      </c>
      <c r="E410" s="3" t="s">
        <v>17</v>
      </c>
      <c r="F410" s="3" t="s">
        <v>17</v>
      </c>
      <c r="G410" s="3" t="s">
        <v>18</v>
      </c>
      <c r="H410" s="3" t="str">
        <f t="shared" si="213"/>
        <v>0</v>
      </c>
      <c r="I410" s="3" t="str">
        <f t="shared" si="213"/>
        <v>0</v>
      </c>
      <c r="J410" s="3" t="str">
        <f>"27"</f>
        <v>27</v>
      </c>
      <c r="K410" s="3" t="str">
        <f>"16975.56"</f>
        <v>16975.56</v>
      </c>
      <c r="L410" s="3" t="str">
        <f>"10185.34"</f>
        <v>10185.34</v>
      </c>
      <c r="M410" s="3" t="str">
        <f t="shared" si="204"/>
        <v>20240516</v>
      </c>
      <c r="N410" s="3" t="str">
        <f>"911506217936404961"</f>
        <v>911506217936404961</v>
      </c>
      <c r="O410" s="3"/>
    </row>
    <row r="411" spans="1:15">
      <c r="A411" s="3" t="str">
        <f>"661506211000000599"</f>
        <v>661506211000000599</v>
      </c>
      <c r="B411" s="3" t="s">
        <v>774</v>
      </c>
      <c r="C411" s="3" t="s">
        <v>16</v>
      </c>
      <c r="D411" s="3" t="str">
        <f t="shared" ref="D411:I411" si="214">"0"</f>
        <v>0</v>
      </c>
      <c r="E411" s="3" t="s">
        <v>17</v>
      </c>
      <c r="F411" s="3" t="s">
        <v>17</v>
      </c>
      <c r="G411" s="3" t="s">
        <v>18</v>
      </c>
      <c r="H411" s="3" t="str">
        <f t="shared" si="214"/>
        <v>0</v>
      </c>
      <c r="I411" s="3" t="str">
        <f t="shared" si="214"/>
        <v>0</v>
      </c>
      <c r="J411" s="3" t="str">
        <f>"13"</f>
        <v>13</v>
      </c>
      <c r="K411" s="3" t="str">
        <f>"7932.94"</f>
        <v>7932.94</v>
      </c>
      <c r="L411" s="3" t="str">
        <f>"4759.76"</f>
        <v>4759.76</v>
      </c>
      <c r="M411" s="3" t="str">
        <f t="shared" si="204"/>
        <v>20240516</v>
      </c>
      <c r="N411" s="3" t="str">
        <f>"911506217830070643"</f>
        <v>911506217830070643</v>
      </c>
      <c r="O411" s="3"/>
    </row>
    <row r="412" spans="1:15">
      <c r="A412" s="3" t="str">
        <f>"661506211000000594"</f>
        <v>661506211000000594</v>
      </c>
      <c r="B412" s="3" t="s">
        <v>775</v>
      </c>
      <c r="C412" s="3"/>
      <c r="D412" s="3" t="str">
        <f>"0"</f>
        <v>0</v>
      </c>
      <c r="E412" s="3" t="s">
        <v>17</v>
      </c>
      <c r="F412" s="3" t="s">
        <v>17</v>
      </c>
      <c r="G412" s="3" t="s">
        <v>18</v>
      </c>
      <c r="H412" s="3"/>
      <c r="I412" s="3"/>
      <c r="J412" s="3" t="str">
        <f>"2"</f>
        <v>2</v>
      </c>
      <c r="K412" s="3" t="str">
        <f>"1629.36"</f>
        <v>1629.36</v>
      </c>
      <c r="L412" s="3" t="str">
        <f>"977.62"</f>
        <v>977.62</v>
      </c>
      <c r="M412" s="3" t="str">
        <f t="shared" si="204"/>
        <v>20240516</v>
      </c>
      <c r="N412" s="3" t="s">
        <v>776</v>
      </c>
      <c r="O412" s="3"/>
    </row>
    <row r="413" spans="1:15">
      <c r="A413" s="3" t="str">
        <f>"661506211000000584"</f>
        <v>661506211000000584</v>
      </c>
      <c r="B413" s="3" t="s">
        <v>777</v>
      </c>
      <c r="C413" s="3" t="s">
        <v>16</v>
      </c>
      <c r="D413" s="3" t="str">
        <f t="shared" ref="D413:I413" si="215">"0"</f>
        <v>0</v>
      </c>
      <c r="E413" s="3" t="s">
        <v>17</v>
      </c>
      <c r="F413" s="3" t="s">
        <v>17</v>
      </c>
      <c r="G413" s="3" t="s">
        <v>18</v>
      </c>
      <c r="H413" s="3" t="str">
        <f t="shared" si="215"/>
        <v>0</v>
      </c>
      <c r="I413" s="3" t="str">
        <f t="shared" si="215"/>
        <v>0</v>
      </c>
      <c r="J413" s="3" t="str">
        <f>"14"</f>
        <v>14</v>
      </c>
      <c r="K413" s="3" t="str">
        <f>"7659.74"</f>
        <v>7659.74</v>
      </c>
      <c r="L413" s="3" t="str">
        <f>"4595.84"</f>
        <v>4595.84</v>
      </c>
      <c r="M413" s="3" t="str">
        <f t="shared" si="204"/>
        <v>20240516</v>
      </c>
      <c r="N413" s="3" t="s">
        <v>778</v>
      </c>
      <c r="O413" s="3"/>
    </row>
    <row r="414" spans="1:15">
      <c r="A414" s="3" t="str">
        <f>"661506211000000583"</f>
        <v>661506211000000583</v>
      </c>
      <c r="B414" s="3" t="s">
        <v>779</v>
      </c>
      <c r="C414" s="3" t="s">
        <v>16</v>
      </c>
      <c r="D414" s="3" t="str">
        <f t="shared" ref="D414:I414" si="216">"0"</f>
        <v>0</v>
      </c>
      <c r="E414" s="3" t="s">
        <v>17</v>
      </c>
      <c r="F414" s="3" t="s">
        <v>17</v>
      </c>
      <c r="G414" s="3" t="s">
        <v>140</v>
      </c>
      <c r="H414" s="3" t="str">
        <f t="shared" si="216"/>
        <v>0</v>
      </c>
      <c r="I414" s="3" t="str">
        <f t="shared" si="216"/>
        <v>0</v>
      </c>
      <c r="J414" s="3" t="str">
        <f>"73"</f>
        <v>73</v>
      </c>
      <c r="K414" s="3" t="str">
        <f>"41939.1"</f>
        <v>41939.1</v>
      </c>
      <c r="L414" s="3" t="str">
        <f>"25163.46"</f>
        <v>25163.46</v>
      </c>
      <c r="M414" s="3" t="str">
        <f t="shared" si="204"/>
        <v>20240516</v>
      </c>
      <c r="N414" s="3" t="s">
        <v>780</v>
      </c>
      <c r="O414" s="3"/>
    </row>
    <row r="415" spans="1:15">
      <c r="A415" s="3" t="str">
        <f>"661506211000000581"</f>
        <v>661506211000000581</v>
      </c>
      <c r="B415" s="3" t="s">
        <v>781</v>
      </c>
      <c r="C415" s="3" t="s">
        <v>16</v>
      </c>
      <c r="D415" s="3" t="str">
        <f t="shared" ref="D415:I415" si="217">"0"</f>
        <v>0</v>
      </c>
      <c r="E415" s="3" t="s">
        <v>17</v>
      </c>
      <c r="F415" s="3" t="s">
        <v>17</v>
      </c>
      <c r="G415" s="3" t="s">
        <v>18</v>
      </c>
      <c r="H415" s="3" t="str">
        <f t="shared" si="217"/>
        <v>0</v>
      </c>
      <c r="I415" s="3" t="str">
        <f t="shared" si="217"/>
        <v>0</v>
      </c>
      <c r="J415" s="3" t="str">
        <f>"22"</f>
        <v>22</v>
      </c>
      <c r="K415" s="3" t="str">
        <f>"28795.28"</f>
        <v>28795.28</v>
      </c>
      <c r="L415" s="3" t="str">
        <f>"17277.17"</f>
        <v>17277.17</v>
      </c>
      <c r="M415" s="3" t="str">
        <f t="shared" si="204"/>
        <v>20240516</v>
      </c>
      <c r="N415" s="3" t="s">
        <v>782</v>
      </c>
      <c r="O415" s="3"/>
    </row>
    <row r="416" spans="1:15">
      <c r="A416" s="3" t="str">
        <f>"661506211000000577"</f>
        <v>661506211000000577</v>
      </c>
      <c r="B416" s="3" t="s">
        <v>783</v>
      </c>
      <c r="C416" s="3" t="s">
        <v>16</v>
      </c>
      <c r="D416" s="3" t="str">
        <f t="shared" ref="D416:I416" si="218">"0"</f>
        <v>0</v>
      </c>
      <c r="E416" s="3" t="s">
        <v>17</v>
      </c>
      <c r="F416" s="3" t="s">
        <v>17</v>
      </c>
      <c r="G416" s="3" t="s">
        <v>693</v>
      </c>
      <c r="H416" s="3" t="str">
        <f t="shared" si="218"/>
        <v>0</v>
      </c>
      <c r="I416" s="3" t="str">
        <f t="shared" si="218"/>
        <v>0</v>
      </c>
      <c r="J416" s="3" t="str">
        <f>"18"</f>
        <v>18</v>
      </c>
      <c r="K416" s="3" t="str">
        <f>"31535.38"</f>
        <v>31535.38</v>
      </c>
      <c r="L416" s="3" t="str">
        <f>"9460.61"</f>
        <v>9460.61</v>
      </c>
      <c r="M416" s="3" t="str">
        <f t="shared" si="204"/>
        <v>20240516</v>
      </c>
      <c r="N416" s="3" t="s">
        <v>784</v>
      </c>
      <c r="O416" s="3"/>
    </row>
    <row r="417" spans="1:15">
      <c r="A417" s="3" t="str">
        <f>"661506211000000563"</f>
        <v>661506211000000563</v>
      </c>
      <c r="B417" s="3" t="s">
        <v>785</v>
      </c>
      <c r="C417" s="3" t="s">
        <v>16</v>
      </c>
      <c r="D417" s="3" t="str">
        <f t="shared" ref="D417:I417" si="219">"0"</f>
        <v>0</v>
      </c>
      <c r="E417" s="3" t="s">
        <v>17</v>
      </c>
      <c r="F417" s="3" t="s">
        <v>17</v>
      </c>
      <c r="G417" s="3" t="s">
        <v>18</v>
      </c>
      <c r="H417" s="3" t="str">
        <f t="shared" si="219"/>
        <v>0</v>
      </c>
      <c r="I417" s="3" t="str">
        <f t="shared" si="219"/>
        <v>0</v>
      </c>
      <c r="J417" s="3" t="str">
        <f>"2"</f>
        <v>2</v>
      </c>
      <c r="K417" s="3" t="str">
        <f>"1390.68"</f>
        <v>1390.68</v>
      </c>
      <c r="L417" s="3" t="str">
        <f>"834.41"</f>
        <v>834.41</v>
      </c>
      <c r="M417" s="3" t="str">
        <f t="shared" si="204"/>
        <v>20240516</v>
      </c>
      <c r="N417" s="3" t="s">
        <v>786</v>
      </c>
      <c r="O417" s="3"/>
    </row>
    <row r="418" spans="1:15">
      <c r="A418" s="3" t="str">
        <f>"661506211000000556"</f>
        <v>661506211000000556</v>
      </c>
      <c r="B418" s="3" t="s">
        <v>787</v>
      </c>
      <c r="C418" s="3" t="s">
        <v>16</v>
      </c>
      <c r="D418" s="3" t="str">
        <f t="shared" ref="D418:I418" si="220">"0"</f>
        <v>0</v>
      </c>
      <c r="E418" s="3" t="s">
        <v>17</v>
      </c>
      <c r="F418" s="3" t="s">
        <v>17</v>
      </c>
      <c r="G418" s="3" t="s">
        <v>693</v>
      </c>
      <c r="H418" s="3" t="str">
        <f t="shared" si="220"/>
        <v>0</v>
      </c>
      <c r="I418" s="3" t="str">
        <f t="shared" si="220"/>
        <v>0</v>
      </c>
      <c r="J418" s="3" t="str">
        <f>"81"</f>
        <v>81</v>
      </c>
      <c r="K418" s="3" t="str">
        <f>"103226.08"</f>
        <v>103226.08</v>
      </c>
      <c r="L418" s="3" t="str">
        <f>"30967.82"</f>
        <v>30967.82</v>
      </c>
      <c r="M418" s="3" t="str">
        <f t="shared" si="204"/>
        <v>20240516</v>
      </c>
      <c r="N418" s="3" t="str">
        <f>"911506218169906173"</f>
        <v>911506218169906173</v>
      </c>
      <c r="O418" s="3"/>
    </row>
    <row r="419" spans="1:15">
      <c r="A419" s="3" t="str">
        <f>"661506211000000528"</f>
        <v>661506211000000528</v>
      </c>
      <c r="B419" s="3" t="s">
        <v>788</v>
      </c>
      <c r="C419" s="3" t="s">
        <v>16</v>
      </c>
      <c r="D419" s="3" t="str">
        <f t="shared" ref="D419:I419" si="221">"0"</f>
        <v>0</v>
      </c>
      <c r="E419" s="3" t="s">
        <v>17</v>
      </c>
      <c r="F419" s="3" t="s">
        <v>17</v>
      </c>
      <c r="G419" s="3" t="s">
        <v>140</v>
      </c>
      <c r="H419" s="3" t="str">
        <f t="shared" si="221"/>
        <v>0</v>
      </c>
      <c r="I419" s="3" t="str">
        <f t="shared" si="221"/>
        <v>0</v>
      </c>
      <c r="J419" s="3" t="str">
        <f>"1"</f>
        <v>1</v>
      </c>
      <c r="K419" s="3" t="str">
        <f>"867.6"</f>
        <v>867.6</v>
      </c>
      <c r="L419" s="3" t="str">
        <f>"520.56"</f>
        <v>520.56</v>
      </c>
      <c r="M419" s="3" t="str">
        <f t="shared" si="204"/>
        <v>20240516</v>
      </c>
      <c r="N419" s="3" t="s">
        <v>789</v>
      </c>
      <c r="O419" s="3"/>
    </row>
    <row r="420" spans="1:15">
      <c r="A420" s="3" t="str">
        <f>"661506211000000215"</f>
        <v>661506211000000215</v>
      </c>
      <c r="B420" s="3" t="s">
        <v>790</v>
      </c>
      <c r="C420" s="3" t="s">
        <v>16</v>
      </c>
      <c r="D420" s="3" t="str">
        <f t="shared" ref="D420:I420" si="222">"0"</f>
        <v>0</v>
      </c>
      <c r="E420" s="3" t="s">
        <v>17</v>
      </c>
      <c r="F420" s="3" t="s">
        <v>17</v>
      </c>
      <c r="G420" s="3" t="s">
        <v>693</v>
      </c>
      <c r="H420" s="3" t="str">
        <f t="shared" si="222"/>
        <v>0</v>
      </c>
      <c r="I420" s="3" t="str">
        <f t="shared" si="222"/>
        <v>0</v>
      </c>
      <c r="J420" s="3" t="str">
        <f>"70"</f>
        <v>70</v>
      </c>
      <c r="K420" s="3" t="str">
        <f>"92527.88"</f>
        <v>92527.88</v>
      </c>
      <c r="L420" s="3" t="str">
        <f>"27758.36"</f>
        <v>27758.36</v>
      </c>
      <c r="M420" s="3" t="str">
        <f t="shared" si="204"/>
        <v>20240516</v>
      </c>
      <c r="N420" s="3" t="s">
        <v>791</v>
      </c>
      <c r="O420" s="3"/>
    </row>
    <row r="421" spans="1:15">
      <c r="A421" s="3" t="str">
        <f>"661506211000000175"</f>
        <v>661506211000000175</v>
      </c>
      <c r="B421" s="3" t="s">
        <v>792</v>
      </c>
      <c r="C421" s="3"/>
      <c r="D421" s="3" t="str">
        <f t="shared" ref="D421:I421" si="223">"0"</f>
        <v>0</v>
      </c>
      <c r="E421" s="3" t="s">
        <v>17</v>
      </c>
      <c r="F421" s="3" t="s">
        <v>17</v>
      </c>
      <c r="G421" s="3" t="s">
        <v>140</v>
      </c>
      <c r="H421" s="3" t="str">
        <f t="shared" si="223"/>
        <v>0</v>
      </c>
      <c r="I421" s="3" t="str">
        <f t="shared" si="223"/>
        <v>0</v>
      </c>
      <c r="J421" s="3" t="str">
        <f>"23"</f>
        <v>23</v>
      </c>
      <c r="K421" s="3" t="str">
        <f>"15347.18"</f>
        <v>15347.18</v>
      </c>
      <c r="L421" s="3" t="str">
        <f>"9208.31"</f>
        <v>9208.31</v>
      </c>
      <c r="M421" s="3" t="str">
        <f t="shared" si="204"/>
        <v>20240516</v>
      </c>
      <c r="N421" s="3" t="str">
        <f>"911506217014177653"</f>
        <v>911506217014177653</v>
      </c>
      <c r="O421" s="3"/>
    </row>
    <row r="422" spans="1:15">
      <c r="A422" s="3" t="str">
        <f>"661506211000000172"</f>
        <v>661506211000000172</v>
      </c>
      <c r="B422" s="3" t="s">
        <v>793</v>
      </c>
      <c r="C422" s="3" t="s">
        <v>16</v>
      </c>
      <c r="D422" s="3" t="str">
        <f t="shared" ref="D422:I422" si="224">"0"</f>
        <v>0</v>
      </c>
      <c r="E422" s="3" t="s">
        <v>17</v>
      </c>
      <c r="F422" s="3" t="s">
        <v>17</v>
      </c>
      <c r="G422" s="3" t="s">
        <v>25</v>
      </c>
      <c r="H422" s="3" t="str">
        <f t="shared" si="224"/>
        <v>0</v>
      </c>
      <c r="I422" s="3" t="str">
        <f t="shared" si="224"/>
        <v>0</v>
      </c>
      <c r="J422" s="3" t="str">
        <f>"1"</f>
        <v>1</v>
      </c>
      <c r="K422" s="3" t="str">
        <f>"537.84"</f>
        <v>537.84</v>
      </c>
      <c r="L422" s="3" t="str">
        <f>"322.7"</f>
        <v>322.7</v>
      </c>
      <c r="M422" s="3" t="str">
        <f t="shared" si="204"/>
        <v>20240516</v>
      </c>
      <c r="N422" s="3" t="str">
        <f>"911506211169946929"</f>
        <v>911506211169946929</v>
      </c>
      <c r="O422" s="3"/>
    </row>
    <row r="423" spans="1:15">
      <c r="A423" s="3" t="str">
        <f>"661506211000000160"</f>
        <v>661506211000000160</v>
      </c>
      <c r="B423" s="3" t="s">
        <v>794</v>
      </c>
      <c r="C423" s="3" t="s">
        <v>16</v>
      </c>
      <c r="D423" s="3" t="str">
        <f t="shared" ref="D423:I423" si="225">"0"</f>
        <v>0</v>
      </c>
      <c r="E423" s="3" t="s">
        <v>17</v>
      </c>
      <c r="F423" s="3" t="s">
        <v>17</v>
      </c>
      <c r="G423" s="3" t="s">
        <v>18</v>
      </c>
      <c r="H423" s="3" t="str">
        <f t="shared" si="225"/>
        <v>0</v>
      </c>
      <c r="I423" s="3" t="str">
        <f t="shared" si="225"/>
        <v>0</v>
      </c>
      <c r="J423" s="3" t="str">
        <f>"15"</f>
        <v>15</v>
      </c>
      <c r="K423" s="3" t="str">
        <f>"8970.32"</f>
        <v>8970.32</v>
      </c>
      <c r="L423" s="3" t="str">
        <f>"5382.19"</f>
        <v>5382.19</v>
      </c>
      <c r="M423" s="3" t="str">
        <f t="shared" si="204"/>
        <v>20240516</v>
      </c>
      <c r="N423" s="3" t="str">
        <f>"911506217014161219"</f>
        <v>911506217014161219</v>
      </c>
      <c r="O423" s="3"/>
    </row>
    <row r="424" spans="1:15">
      <c r="A424" s="3" t="str">
        <f>"661506211000000154"</f>
        <v>661506211000000154</v>
      </c>
      <c r="B424" s="3" t="s">
        <v>795</v>
      </c>
      <c r="C424" s="3" t="s">
        <v>16</v>
      </c>
      <c r="D424" s="3" t="str">
        <f t="shared" ref="D424:I424" si="226">"0"</f>
        <v>0</v>
      </c>
      <c r="E424" s="3" t="s">
        <v>17</v>
      </c>
      <c r="F424" s="3" t="s">
        <v>17</v>
      </c>
      <c r="G424" s="3" t="s">
        <v>25</v>
      </c>
      <c r="H424" s="3" t="str">
        <f t="shared" si="226"/>
        <v>0</v>
      </c>
      <c r="I424" s="3" t="str">
        <f t="shared" si="226"/>
        <v>0</v>
      </c>
      <c r="J424" s="3" t="str">
        <f>"4"</f>
        <v>4</v>
      </c>
      <c r="K424" s="3" t="str">
        <f>"2151.36"</f>
        <v>2151.36</v>
      </c>
      <c r="L424" s="3" t="str">
        <f>"1290.82"</f>
        <v>1290.82</v>
      </c>
      <c r="M424" s="3" t="str">
        <f t="shared" si="204"/>
        <v>20240516</v>
      </c>
      <c r="N424" s="3" t="s">
        <v>796</v>
      </c>
      <c r="O424" s="3"/>
    </row>
    <row r="425" spans="1:15">
      <c r="A425" s="3" t="str">
        <f>"661506211000000147"</f>
        <v>661506211000000147</v>
      </c>
      <c r="B425" s="3" t="s">
        <v>797</v>
      </c>
      <c r="C425" s="3" t="s">
        <v>16</v>
      </c>
      <c r="D425" s="3">
        <v>0.14</v>
      </c>
      <c r="E425" s="3" t="s">
        <v>17</v>
      </c>
      <c r="F425" s="3" t="s">
        <v>17</v>
      </c>
      <c r="G425" s="3" t="s">
        <v>140</v>
      </c>
      <c r="H425" s="3" t="str">
        <f>"0"</f>
        <v>0</v>
      </c>
      <c r="I425" s="3" t="str">
        <f>"0"</f>
        <v>0</v>
      </c>
      <c r="J425" s="3" t="str">
        <f>"14"</f>
        <v>14</v>
      </c>
      <c r="K425" s="3" t="str">
        <f>"7910.7"</f>
        <v>7910.7</v>
      </c>
      <c r="L425" s="3" t="str">
        <f>"4746.42"</f>
        <v>4746.42</v>
      </c>
      <c r="M425" s="3" t="str">
        <f t="shared" si="204"/>
        <v>20240516</v>
      </c>
      <c r="N425" s="3" t="str">
        <f>"911506217201965315"</f>
        <v>911506217201965315</v>
      </c>
      <c r="O425" s="3"/>
    </row>
    <row r="426" spans="1:15">
      <c r="A426" s="3" t="str">
        <f>"661506211000000143"</f>
        <v>661506211000000143</v>
      </c>
      <c r="B426" s="3" t="s">
        <v>798</v>
      </c>
      <c r="C426" s="3" t="s">
        <v>16</v>
      </c>
      <c r="D426" s="3" t="str">
        <f t="shared" ref="D426:I426" si="227">"0"</f>
        <v>0</v>
      </c>
      <c r="E426" s="3" t="s">
        <v>17</v>
      </c>
      <c r="F426" s="3" t="s">
        <v>17</v>
      </c>
      <c r="G426" s="3" t="s">
        <v>18</v>
      </c>
      <c r="H426" s="3" t="str">
        <f t="shared" si="227"/>
        <v>0</v>
      </c>
      <c r="I426" s="3" t="str">
        <f t="shared" si="227"/>
        <v>0</v>
      </c>
      <c r="J426" s="3" t="str">
        <f>"5"</f>
        <v>5</v>
      </c>
      <c r="K426" s="3" t="str">
        <f>"3960"</f>
        <v>3960</v>
      </c>
      <c r="L426" s="3" t="str">
        <f>"2376"</f>
        <v>2376</v>
      </c>
      <c r="M426" s="3" t="str">
        <f t="shared" si="204"/>
        <v>20240516</v>
      </c>
      <c r="N426" s="3" t="s">
        <v>799</v>
      </c>
      <c r="O426" s="3"/>
    </row>
    <row r="427" spans="1:15">
      <c r="A427" s="3" t="str">
        <f>"661506211000000137"</f>
        <v>661506211000000137</v>
      </c>
      <c r="B427" s="3" t="s">
        <v>800</v>
      </c>
      <c r="C427" s="3" t="s">
        <v>16</v>
      </c>
      <c r="D427" s="3" t="str">
        <f t="shared" ref="D427:I427" si="228">"0"</f>
        <v>0</v>
      </c>
      <c r="E427" s="3" t="s">
        <v>17</v>
      </c>
      <c r="F427" s="3" t="s">
        <v>17</v>
      </c>
      <c r="G427" s="3" t="s">
        <v>693</v>
      </c>
      <c r="H427" s="3" t="str">
        <f t="shared" si="228"/>
        <v>0</v>
      </c>
      <c r="I427" s="3" t="str">
        <f t="shared" si="228"/>
        <v>0</v>
      </c>
      <c r="J427" s="3" t="str">
        <f>"82"</f>
        <v>82</v>
      </c>
      <c r="K427" s="3" t="str">
        <f>"115491.02"</f>
        <v>115491.02</v>
      </c>
      <c r="L427" s="3" t="str">
        <f>"34647.31"</f>
        <v>34647.31</v>
      </c>
      <c r="M427" s="3" t="str">
        <f t="shared" si="204"/>
        <v>20240516</v>
      </c>
      <c r="N427" s="3" t="s">
        <v>801</v>
      </c>
      <c r="O427" s="3"/>
    </row>
    <row r="428" spans="1:15">
      <c r="A428" s="3" t="str">
        <f>"661506211000000133"</f>
        <v>661506211000000133</v>
      </c>
      <c r="B428" s="3" t="s">
        <v>802</v>
      </c>
      <c r="C428" s="3" t="s">
        <v>16</v>
      </c>
      <c r="D428" s="3" t="str">
        <f t="shared" ref="D428:I428" si="229">"0"</f>
        <v>0</v>
      </c>
      <c r="E428" s="3" t="s">
        <v>17</v>
      </c>
      <c r="F428" s="3" t="s">
        <v>17</v>
      </c>
      <c r="G428" s="3" t="s">
        <v>693</v>
      </c>
      <c r="H428" s="3" t="str">
        <f t="shared" si="229"/>
        <v>0</v>
      </c>
      <c r="I428" s="3" t="str">
        <f t="shared" si="229"/>
        <v>0</v>
      </c>
      <c r="J428" s="3" t="str">
        <f>"436"</f>
        <v>436</v>
      </c>
      <c r="K428" s="3" t="str">
        <f>"239097.9"</f>
        <v>239097.9</v>
      </c>
      <c r="L428" s="3" t="str">
        <f>"71729.37"</f>
        <v>71729.37</v>
      </c>
      <c r="M428" s="3" t="str">
        <f t="shared" si="204"/>
        <v>20240516</v>
      </c>
      <c r="N428" s="3" t="s">
        <v>803</v>
      </c>
      <c r="O428" s="3"/>
    </row>
    <row r="429" spans="1:15">
      <c r="A429" s="3" t="str">
        <f>"661506211000000122"</f>
        <v>661506211000000122</v>
      </c>
      <c r="B429" s="3" t="s">
        <v>804</v>
      </c>
      <c r="C429" s="3" t="s">
        <v>16</v>
      </c>
      <c r="D429" s="3" t="str">
        <f t="shared" ref="D429:I429" si="230">"0"</f>
        <v>0</v>
      </c>
      <c r="E429" s="3" t="s">
        <v>17</v>
      </c>
      <c r="F429" s="3" t="s">
        <v>17</v>
      </c>
      <c r="G429" s="3" t="s">
        <v>18</v>
      </c>
      <c r="H429" s="3" t="str">
        <f t="shared" si="230"/>
        <v>0</v>
      </c>
      <c r="I429" s="3" t="str">
        <f t="shared" si="230"/>
        <v>0</v>
      </c>
      <c r="J429" s="3" t="str">
        <f>"12"</f>
        <v>12</v>
      </c>
      <c r="K429" s="3" t="str">
        <f>"11539.2"</f>
        <v>11539.2</v>
      </c>
      <c r="L429" s="3" t="str">
        <f>"6923.52"</f>
        <v>6923.52</v>
      </c>
      <c r="M429" s="3" t="str">
        <f t="shared" si="204"/>
        <v>20240516</v>
      </c>
      <c r="N429" s="3" t="s">
        <v>805</v>
      </c>
      <c r="O429" s="3"/>
    </row>
    <row r="430" spans="1:15">
      <c r="A430" s="3" t="str">
        <f>"661506211000000068"</f>
        <v>661506211000000068</v>
      </c>
      <c r="B430" s="3" t="s">
        <v>806</v>
      </c>
      <c r="C430" s="3" t="s">
        <v>16</v>
      </c>
      <c r="D430" s="3" t="str">
        <f t="shared" ref="D430:I430" si="231">"0"</f>
        <v>0</v>
      </c>
      <c r="E430" s="3" t="s">
        <v>17</v>
      </c>
      <c r="F430" s="3" t="s">
        <v>17</v>
      </c>
      <c r="G430" s="3" t="s">
        <v>18</v>
      </c>
      <c r="H430" s="3" t="str">
        <f t="shared" si="231"/>
        <v>0</v>
      </c>
      <c r="I430" s="3" t="str">
        <f t="shared" si="231"/>
        <v>0</v>
      </c>
      <c r="J430" s="3" t="str">
        <f>"1"</f>
        <v>1</v>
      </c>
      <c r="K430" s="3" t="str">
        <f>"540"</f>
        <v>540</v>
      </c>
      <c r="L430" s="3" t="str">
        <f>"324"</f>
        <v>324</v>
      </c>
      <c r="M430" s="3" t="str">
        <f t="shared" si="204"/>
        <v>20240516</v>
      </c>
      <c r="N430" s="3" t="s">
        <v>807</v>
      </c>
      <c r="O430" s="3"/>
    </row>
    <row r="431" spans="1:15">
      <c r="A431" s="3" t="str">
        <f>"661506211000000040"</f>
        <v>661506211000000040</v>
      </c>
      <c r="B431" s="3" t="s">
        <v>808</v>
      </c>
      <c r="C431" s="3"/>
      <c r="D431" s="3" t="str">
        <f t="shared" ref="D431:I431" si="232">"0"</f>
        <v>0</v>
      </c>
      <c r="E431" s="3" t="s">
        <v>17</v>
      </c>
      <c r="F431" s="3" t="s">
        <v>17</v>
      </c>
      <c r="G431" s="3" t="s">
        <v>693</v>
      </c>
      <c r="H431" s="3" t="str">
        <f t="shared" si="232"/>
        <v>0</v>
      </c>
      <c r="I431" s="3" t="str">
        <f t="shared" si="232"/>
        <v>0</v>
      </c>
      <c r="J431" s="3" t="str">
        <f>"41"</f>
        <v>41</v>
      </c>
      <c r="K431" s="3" t="str">
        <f>"71848.94"</f>
        <v>71848.94</v>
      </c>
      <c r="L431" s="3" t="str">
        <f>"21554.68"</f>
        <v>21554.68</v>
      </c>
      <c r="M431" s="3" t="str">
        <f t="shared" si="204"/>
        <v>20240516</v>
      </c>
      <c r="N431" s="3" t="s">
        <v>809</v>
      </c>
      <c r="O431" s="3"/>
    </row>
    <row r="432" spans="1:15">
      <c r="A432" s="3" t="str">
        <f>"661506211000000038"</f>
        <v>661506211000000038</v>
      </c>
      <c r="B432" s="3" t="s">
        <v>810</v>
      </c>
      <c r="C432" s="3" t="s">
        <v>16</v>
      </c>
      <c r="D432" s="3" t="str">
        <f t="shared" ref="D432:I432" si="233">"0"</f>
        <v>0</v>
      </c>
      <c r="E432" s="3" t="s">
        <v>17</v>
      </c>
      <c r="F432" s="3" t="s">
        <v>17</v>
      </c>
      <c r="G432" s="3" t="s">
        <v>140</v>
      </c>
      <c r="H432" s="3" t="str">
        <f t="shared" si="233"/>
        <v>0</v>
      </c>
      <c r="I432" s="3" t="str">
        <f t="shared" si="233"/>
        <v>0</v>
      </c>
      <c r="J432" s="3" t="str">
        <f>"13"</f>
        <v>13</v>
      </c>
      <c r="K432" s="3" t="str">
        <f>"10466.8"</f>
        <v>10466.8</v>
      </c>
      <c r="L432" s="3" t="str">
        <f>"6280.08"</f>
        <v>6280.08</v>
      </c>
      <c r="M432" s="3" t="str">
        <f t="shared" si="204"/>
        <v>20240516</v>
      </c>
      <c r="N432" s="3" t="s">
        <v>811</v>
      </c>
      <c r="O432" s="3"/>
    </row>
    <row r="433" spans="1:15">
      <c r="A433" s="3" t="str">
        <f>"661506211000000037"</f>
        <v>661506211000000037</v>
      </c>
      <c r="B433" s="3" t="s">
        <v>812</v>
      </c>
      <c r="C433" s="3" t="s">
        <v>16</v>
      </c>
      <c r="D433" s="3" t="str">
        <f t="shared" ref="D433:I433" si="234">"0"</f>
        <v>0</v>
      </c>
      <c r="E433" s="3" t="s">
        <v>17</v>
      </c>
      <c r="F433" s="3" t="s">
        <v>17</v>
      </c>
      <c r="G433" s="3" t="s">
        <v>18</v>
      </c>
      <c r="H433" s="3" t="str">
        <f t="shared" si="234"/>
        <v>0</v>
      </c>
      <c r="I433" s="3" t="str">
        <f t="shared" si="234"/>
        <v>0</v>
      </c>
      <c r="J433" s="3" t="str">
        <f>"114"</f>
        <v>114</v>
      </c>
      <c r="K433" s="3" t="str">
        <f>"61672.32"</f>
        <v>61672.32</v>
      </c>
      <c r="L433" s="3" t="str">
        <f>"37003.39"</f>
        <v>37003.39</v>
      </c>
      <c r="M433" s="3" t="str">
        <f t="shared" si="204"/>
        <v>20240516</v>
      </c>
      <c r="N433" s="3" t="s">
        <v>813</v>
      </c>
      <c r="O433" s="3"/>
    </row>
    <row r="434" spans="1:15">
      <c r="A434" s="3" t="str">
        <f>"661506211000000031"</f>
        <v>661506211000000031</v>
      </c>
      <c r="B434" s="3" t="s">
        <v>814</v>
      </c>
      <c r="C434" s="3" t="s">
        <v>16</v>
      </c>
      <c r="D434" s="3" t="str">
        <f t="shared" ref="D434:I434" si="235">"0"</f>
        <v>0</v>
      </c>
      <c r="E434" s="3" t="s">
        <v>17</v>
      </c>
      <c r="F434" s="3" t="s">
        <v>17</v>
      </c>
      <c r="G434" s="3" t="s">
        <v>18</v>
      </c>
      <c r="H434" s="3" t="str">
        <f t="shared" si="235"/>
        <v>0</v>
      </c>
      <c r="I434" s="3" t="str">
        <f t="shared" si="235"/>
        <v>0</v>
      </c>
      <c r="J434" s="3" t="str">
        <f>"4"</f>
        <v>4</v>
      </c>
      <c r="K434" s="3" t="str">
        <f>"2420.28"</f>
        <v>2420.28</v>
      </c>
      <c r="L434" s="3" t="str">
        <f>"1452.17"</f>
        <v>1452.17</v>
      </c>
      <c r="M434" s="3" t="str">
        <f t="shared" si="204"/>
        <v>20240516</v>
      </c>
      <c r="N434" s="3" t="s">
        <v>815</v>
      </c>
      <c r="O434" s="3"/>
    </row>
    <row r="435" spans="1:15">
      <c r="A435" s="3" t="str">
        <f>"661506211000000025"</f>
        <v>661506211000000025</v>
      </c>
      <c r="B435" s="3" t="s">
        <v>816</v>
      </c>
      <c r="C435" s="3" t="s">
        <v>16</v>
      </c>
      <c r="D435" s="3" t="str">
        <f t="shared" ref="D435:I435" si="236">"0"</f>
        <v>0</v>
      </c>
      <c r="E435" s="3" t="s">
        <v>17</v>
      </c>
      <c r="F435" s="3" t="s">
        <v>17</v>
      </c>
      <c r="G435" s="3" t="s">
        <v>18</v>
      </c>
      <c r="H435" s="3" t="str">
        <f t="shared" si="236"/>
        <v>0</v>
      </c>
      <c r="I435" s="3" t="str">
        <f t="shared" si="236"/>
        <v>0</v>
      </c>
      <c r="J435" s="3" t="str">
        <f>"60"</f>
        <v>60</v>
      </c>
      <c r="K435" s="3" t="str">
        <f>"57755.72"</f>
        <v>57755.72</v>
      </c>
      <c r="L435" s="3" t="str">
        <f>"34653.43"</f>
        <v>34653.43</v>
      </c>
      <c r="M435" s="3" t="str">
        <f t="shared" si="204"/>
        <v>20240516</v>
      </c>
      <c r="N435" s="3" t="str">
        <f>"911506211169944654"</f>
        <v>911506211169944654</v>
      </c>
      <c r="O435" s="3"/>
    </row>
    <row r="436" spans="1:15">
      <c r="A436" s="3" t="str">
        <f>"661506211000000023"</f>
        <v>661506211000000023</v>
      </c>
      <c r="B436" s="3" t="s">
        <v>817</v>
      </c>
      <c r="C436" s="3" t="s">
        <v>16</v>
      </c>
      <c r="D436" s="3" t="str">
        <f t="shared" ref="D436:I436" si="237">"0"</f>
        <v>0</v>
      </c>
      <c r="E436" s="3" t="s">
        <v>17</v>
      </c>
      <c r="F436" s="3" t="s">
        <v>17</v>
      </c>
      <c r="G436" s="3" t="s">
        <v>18</v>
      </c>
      <c r="H436" s="3" t="str">
        <f t="shared" si="237"/>
        <v>0</v>
      </c>
      <c r="I436" s="3" t="str">
        <f t="shared" si="237"/>
        <v>0</v>
      </c>
      <c r="J436" s="3" t="str">
        <f>"10"</f>
        <v>10</v>
      </c>
      <c r="K436" s="3" t="str">
        <f>"8550"</f>
        <v>8550</v>
      </c>
      <c r="L436" s="3" t="str">
        <f>"5130"</f>
        <v>5130</v>
      </c>
      <c r="M436" s="3" t="str">
        <f t="shared" si="204"/>
        <v>20240516</v>
      </c>
      <c r="N436" s="3" t="str">
        <f>"911506211169901731"</f>
        <v>911506211169901731</v>
      </c>
      <c r="O436" s="3"/>
    </row>
    <row r="437" spans="1:15">
      <c r="A437" s="3" t="str">
        <f>"661506211000000020"</f>
        <v>661506211000000020</v>
      </c>
      <c r="B437" s="3" t="s">
        <v>818</v>
      </c>
      <c r="C437" s="3" t="s">
        <v>16</v>
      </c>
      <c r="D437" s="3" t="str">
        <f t="shared" ref="D437:I437" si="238">"0"</f>
        <v>0</v>
      </c>
      <c r="E437" s="3" t="s">
        <v>17</v>
      </c>
      <c r="F437" s="3" t="s">
        <v>17</v>
      </c>
      <c r="G437" s="3" t="s">
        <v>25</v>
      </c>
      <c r="H437" s="3" t="str">
        <f t="shared" si="238"/>
        <v>0</v>
      </c>
      <c r="I437" s="3" t="str">
        <f t="shared" si="238"/>
        <v>0</v>
      </c>
      <c r="J437" s="3" t="str">
        <f>"17"</f>
        <v>17</v>
      </c>
      <c r="K437" s="3" t="str">
        <f>"11456.74"</f>
        <v>11456.74</v>
      </c>
      <c r="L437" s="3" t="str">
        <f>"6874.04"</f>
        <v>6874.04</v>
      </c>
      <c r="M437" s="3" t="str">
        <f t="shared" si="204"/>
        <v>20240516</v>
      </c>
      <c r="N437" s="3" t="s">
        <v>819</v>
      </c>
      <c r="O437" s="3"/>
    </row>
    <row r="438" spans="1:15">
      <c r="A438" s="3" t="str">
        <f>"661506211000000015"</f>
        <v>661506211000000015</v>
      </c>
      <c r="B438" s="3" t="s">
        <v>820</v>
      </c>
      <c r="C438" s="3" t="s">
        <v>16</v>
      </c>
      <c r="D438" s="3" t="str">
        <f t="shared" ref="D438:I438" si="239">"0"</f>
        <v>0</v>
      </c>
      <c r="E438" s="3" t="s">
        <v>17</v>
      </c>
      <c r="F438" s="3" t="s">
        <v>17</v>
      </c>
      <c r="G438" s="3" t="s">
        <v>25</v>
      </c>
      <c r="H438" s="3" t="str">
        <f t="shared" si="239"/>
        <v>0</v>
      </c>
      <c r="I438" s="3" t="str">
        <f t="shared" si="239"/>
        <v>0</v>
      </c>
      <c r="J438" s="3" t="str">
        <f>"10"</f>
        <v>10</v>
      </c>
      <c r="K438" s="3" t="str">
        <f>"5760.48"</f>
        <v>5760.48</v>
      </c>
      <c r="L438" s="3" t="str">
        <f>"3456.29"</f>
        <v>3456.29</v>
      </c>
      <c r="M438" s="3" t="str">
        <f t="shared" si="204"/>
        <v>20240516</v>
      </c>
      <c r="N438" s="3" t="s">
        <v>821</v>
      </c>
      <c r="O438" s="3"/>
    </row>
    <row r="439" spans="1:15">
      <c r="A439" s="3" t="str">
        <f>"661506211000000006"</f>
        <v>661506211000000006</v>
      </c>
      <c r="B439" s="3" t="s">
        <v>822</v>
      </c>
      <c r="C439" s="3" t="s">
        <v>16</v>
      </c>
      <c r="D439" s="3" t="str">
        <f t="shared" ref="D439:I439" si="240">"0"</f>
        <v>0</v>
      </c>
      <c r="E439" s="3" t="s">
        <v>17</v>
      </c>
      <c r="F439" s="3" t="s">
        <v>17</v>
      </c>
      <c r="G439" s="3" t="s">
        <v>25</v>
      </c>
      <c r="H439" s="3" t="str">
        <f t="shared" si="240"/>
        <v>0</v>
      </c>
      <c r="I439" s="3" t="str">
        <f t="shared" si="240"/>
        <v>0</v>
      </c>
      <c r="J439" s="3" t="str">
        <f>"7"</f>
        <v>7</v>
      </c>
      <c r="K439" s="3" t="str">
        <f>"4860.48"</f>
        <v>4860.48</v>
      </c>
      <c r="L439" s="3" t="str">
        <f>"2916.29"</f>
        <v>2916.29</v>
      </c>
      <c r="M439" s="3" t="str">
        <f t="shared" si="204"/>
        <v>20240516</v>
      </c>
      <c r="N439" s="3" t="s">
        <v>823</v>
      </c>
      <c r="O439" s="3"/>
    </row>
    <row r="440" spans="1:15">
      <c r="A440" s="3" t="str">
        <f>"661506211000000004"</f>
        <v>661506211000000004</v>
      </c>
      <c r="B440" s="3" t="s">
        <v>824</v>
      </c>
      <c r="C440" s="3" t="s">
        <v>16</v>
      </c>
      <c r="D440" s="3">
        <v>0.02</v>
      </c>
      <c r="E440" s="3" t="s">
        <v>17</v>
      </c>
      <c r="F440" s="3" t="s">
        <v>17</v>
      </c>
      <c r="G440" s="3" t="s">
        <v>693</v>
      </c>
      <c r="H440" s="3" t="str">
        <f>"0"</f>
        <v>0</v>
      </c>
      <c r="I440" s="3" t="str">
        <f>"0"</f>
        <v>0</v>
      </c>
      <c r="J440" s="3" t="str">
        <f>"60"</f>
        <v>60</v>
      </c>
      <c r="K440" s="3" t="str">
        <f>"50851"</f>
        <v>50851</v>
      </c>
      <c r="L440" s="3" t="str">
        <f>"15255.3"</f>
        <v>15255.3</v>
      </c>
      <c r="M440" s="3" t="str">
        <f t="shared" si="204"/>
        <v>20240516</v>
      </c>
      <c r="N440" s="3" t="s">
        <v>825</v>
      </c>
      <c r="O440" s="3"/>
    </row>
    <row r="441" spans="1:15">
      <c r="A441" s="3" t="str">
        <f>"661506210973100"</f>
        <v>661506210973100</v>
      </c>
      <c r="B441" s="3" t="s">
        <v>826</v>
      </c>
      <c r="C441" s="3" t="s">
        <v>16</v>
      </c>
      <c r="D441" s="3" t="str">
        <f t="shared" ref="D441:I441" si="241">"0"</f>
        <v>0</v>
      </c>
      <c r="E441" s="3" t="s">
        <v>17</v>
      </c>
      <c r="F441" s="3" t="s">
        <v>17</v>
      </c>
      <c r="G441" s="3" t="s">
        <v>25</v>
      </c>
      <c r="H441" s="3" t="str">
        <f t="shared" si="241"/>
        <v>0</v>
      </c>
      <c r="I441" s="3" t="str">
        <f t="shared" si="241"/>
        <v>0</v>
      </c>
      <c r="J441" s="3" t="str">
        <f>"12"</f>
        <v>12</v>
      </c>
      <c r="K441" s="3" t="str">
        <f>"6925.08"</f>
        <v>6925.08</v>
      </c>
      <c r="L441" s="3" t="str">
        <f>"4155.05"</f>
        <v>4155.05</v>
      </c>
      <c r="M441" s="3" t="str">
        <f t="shared" si="204"/>
        <v>20240516</v>
      </c>
      <c r="N441" s="3" t="s">
        <v>827</v>
      </c>
      <c r="O441" s="3"/>
    </row>
    <row r="442" spans="1:15">
      <c r="A442" s="3" t="str">
        <f>"661506210964200"</f>
        <v>661506210964200</v>
      </c>
      <c r="B442" s="3" t="s">
        <v>828</v>
      </c>
      <c r="C442" s="3" t="s">
        <v>16</v>
      </c>
      <c r="D442" s="3" t="str">
        <f t="shared" ref="D442:I442" si="242">"0"</f>
        <v>0</v>
      </c>
      <c r="E442" s="3" t="s">
        <v>17</v>
      </c>
      <c r="F442" s="3" t="s">
        <v>17</v>
      </c>
      <c r="G442" s="3" t="s">
        <v>18</v>
      </c>
      <c r="H442" s="3" t="str">
        <f t="shared" si="242"/>
        <v>0</v>
      </c>
      <c r="I442" s="3" t="str">
        <f t="shared" si="242"/>
        <v>0</v>
      </c>
      <c r="J442" s="3" t="str">
        <f>"41"</f>
        <v>41</v>
      </c>
      <c r="K442" s="3" t="str">
        <f>"22096.26"</f>
        <v>22096.26</v>
      </c>
      <c r="L442" s="3" t="str">
        <f>"13257.76"</f>
        <v>13257.76</v>
      </c>
      <c r="M442" s="3" t="str">
        <f t="shared" si="204"/>
        <v>20240516</v>
      </c>
      <c r="N442" s="3" t="str">
        <f>"911506215528116379"</f>
        <v>911506215528116379</v>
      </c>
      <c r="O442" s="3"/>
    </row>
    <row r="443" spans="1:15">
      <c r="A443" s="3" t="str">
        <f>"661506210890300"</f>
        <v>661506210890300</v>
      </c>
      <c r="B443" s="3" t="s">
        <v>829</v>
      </c>
      <c r="C443" s="3" t="s">
        <v>16</v>
      </c>
      <c r="D443" s="3" t="str">
        <f t="shared" ref="D443:I443" si="243">"0"</f>
        <v>0</v>
      </c>
      <c r="E443" s="3" t="s">
        <v>17</v>
      </c>
      <c r="F443" s="3" t="s">
        <v>17</v>
      </c>
      <c r="G443" s="3" t="s">
        <v>25</v>
      </c>
      <c r="H443" s="3" t="str">
        <f t="shared" si="243"/>
        <v>0</v>
      </c>
      <c r="I443" s="3" t="str">
        <f t="shared" si="243"/>
        <v>0</v>
      </c>
      <c r="J443" s="3" t="str">
        <f>"6"</f>
        <v>6</v>
      </c>
      <c r="K443" s="3" t="str">
        <f>"3863.74"</f>
        <v>3863.74</v>
      </c>
      <c r="L443" s="3" t="str">
        <f>"2318.24"</f>
        <v>2318.24</v>
      </c>
      <c r="M443" s="3" t="str">
        <f t="shared" si="204"/>
        <v>20240516</v>
      </c>
      <c r="N443" s="3" t="s">
        <v>830</v>
      </c>
      <c r="O443" s="3"/>
    </row>
    <row r="444" spans="1:15">
      <c r="A444" s="3" t="str">
        <f>"661506210882200"</f>
        <v>661506210882200</v>
      </c>
      <c r="B444" s="3" t="s">
        <v>831</v>
      </c>
      <c r="C444" s="3"/>
      <c r="D444" s="3" t="str">
        <f t="shared" ref="D444:I444" si="244">"0"</f>
        <v>0</v>
      </c>
      <c r="E444" s="3" t="s">
        <v>17</v>
      </c>
      <c r="F444" s="3" t="s">
        <v>17</v>
      </c>
      <c r="G444" s="3" t="s">
        <v>25</v>
      </c>
      <c r="H444" s="3" t="str">
        <f t="shared" si="244"/>
        <v>0</v>
      </c>
      <c r="I444" s="3" t="str">
        <f t="shared" si="244"/>
        <v>0</v>
      </c>
      <c r="J444" s="3" t="str">
        <f>"1"</f>
        <v>1</v>
      </c>
      <c r="K444" s="3" t="str">
        <f>"529.24"</f>
        <v>529.24</v>
      </c>
      <c r="L444" s="3" t="str">
        <f>"317.54"</f>
        <v>317.54</v>
      </c>
      <c r="M444" s="3" t="str">
        <f t="shared" si="204"/>
        <v>20240516</v>
      </c>
      <c r="N444" s="3" t="s">
        <v>832</v>
      </c>
      <c r="O444" s="3"/>
    </row>
    <row r="445" spans="1:15">
      <c r="A445" s="3" t="str">
        <f>"661506210854200"</f>
        <v>661506210854200</v>
      </c>
      <c r="B445" s="3" t="s">
        <v>833</v>
      </c>
      <c r="C445" s="3" t="s">
        <v>16</v>
      </c>
      <c r="D445" s="3" t="str">
        <f t="shared" ref="D445:I445" si="245">"0"</f>
        <v>0</v>
      </c>
      <c r="E445" s="3" t="s">
        <v>17</v>
      </c>
      <c r="F445" s="3" t="s">
        <v>17</v>
      </c>
      <c r="G445" s="3" t="s">
        <v>25</v>
      </c>
      <c r="H445" s="3" t="str">
        <f t="shared" si="245"/>
        <v>0</v>
      </c>
      <c r="I445" s="3" t="str">
        <f t="shared" si="245"/>
        <v>0</v>
      </c>
      <c r="J445" s="3" t="str">
        <f>"2"</f>
        <v>2</v>
      </c>
      <c r="K445" s="3" t="str">
        <f>"1092.96"</f>
        <v>1092.96</v>
      </c>
      <c r="L445" s="3" t="str">
        <f>"655.78"</f>
        <v>655.78</v>
      </c>
      <c r="M445" s="3" t="str">
        <f t="shared" si="204"/>
        <v>20240516</v>
      </c>
      <c r="N445" s="3" t="s">
        <v>834</v>
      </c>
      <c r="O445" s="3"/>
    </row>
    <row r="446" spans="1:15">
      <c r="A446" s="3" t="str">
        <f>"661506210835500"</f>
        <v>661506210835500</v>
      </c>
      <c r="B446" s="3" t="s">
        <v>835</v>
      </c>
      <c r="C446" s="3" t="s">
        <v>16</v>
      </c>
      <c r="D446" s="3" t="str">
        <f t="shared" ref="D446:I446" si="246">"0"</f>
        <v>0</v>
      </c>
      <c r="E446" s="3" t="s">
        <v>17</v>
      </c>
      <c r="F446" s="3" t="s">
        <v>17</v>
      </c>
      <c r="G446" s="3" t="s">
        <v>25</v>
      </c>
      <c r="H446" s="3" t="str">
        <f t="shared" si="246"/>
        <v>0</v>
      </c>
      <c r="I446" s="3" t="str">
        <f t="shared" si="246"/>
        <v>0</v>
      </c>
      <c r="J446" s="3" t="str">
        <f>"1"</f>
        <v>1</v>
      </c>
      <c r="K446" s="3" t="str">
        <f>"537.84"</f>
        <v>537.84</v>
      </c>
      <c r="L446" s="3" t="str">
        <f>"322.7"</f>
        <v>322.7</v>
      </c>
      <c r="M446" s="3" t="str">
        <f t="shared" si="204"/>
        <v>20240516</v>
      </c>
      <c r="N446" s="3" t="s">
        <v>836</v>
      </c>
      <c r="O446" s="3"/>
    </row>
    <row r="447" spans="1:15">
      <c r="A447" s="3" t="str">
        <f>"661506210834800"</f>
        <v>661506210834800</v>
      </c>
      <c r="B447" s="3" t="s">
        <v>837</v>
      </c>
      <c r="C447" s="3" t="s">
        <v>16</v>
      </c>
      <c r="D447" s="3" t="str">
        <f t="shared" ref="D447:I447" si="247">"0"</f>
        <v>0</v>
      </c>
      <c r="E447" s="3" t="s">
        <v>17</v>
      </c>
      <c r="F447" s="3" t="s">
        <v>17</v>
      </c>
      <c r="G447" s="3" t="s">
        <v>25</v>
      </c>
      <c r="H447" s="3" t="str">
        <f t="shared" si="247"/>
        <v>0</v>
      </c>
      <c r="I447" s="3" t="str">
        <f t="shared" si="247"/>
        <v>0</v>
      </c>
      <c r="J447" s="3" t="str">
        <f t="shared" ref="J447:J452" si="248">"3"</f>
        <v>3</v>
      </c>
      <c r="K447" s="3" t="str">
        <f>"1613.52"</f>
        <v>1613.52</v>
      </c>
      <c r="L447" s="3" t="str">
        <f>"968.11"</f>
        <v>968.11</v>
      </c>
      <c r="M447" s="3" t="str">
        <f t="shared" si="204"/>
        <v>20240516</v>
      </c>
      <c r="N447" s="3" t="s">
        <v>838</v>
      </c>
      <c r="O447" s="3"/>
    </row>
    <row r="448" spans="1:15">
      <c r="A448" s="3" t="str">
        <f>"661506210739700"</f>
        <v>661506210739700</v>
      </c>
      <c r="B448" s="3" t="s">
        <v>839</v>
      </c>
      <c r="C448" s="3" t="s">
        <v>16</v>
      </c>
      <c r="D448" s="3" t="str">
        <f t="shared" ref="D448:I448" si="249">"0"</f>
        <v>0</v>
      </c>
      <c r="E448" s="3" t="s">
        <v>17</v>
      </c>
      <c r="F448" s="3" t="s">
        <v>17</v>
      </c>
      <c r="G448" s="3" t="s">
        <v>25</v>
      </c>
      <c r="H448" s="3" t="str">
        <f t="shared" si="249"/>
        <v>0</v>
      </c>
      <c r="I448" s="3" t="str">
        <f t="shared" si="249"/>
        <v>0</v>
      </c>
      <c r="J448" s="3" t="str">
        <f t="shared" si="248"/>
        <v>3</v>
      </c>
      <c r="K448" s="3" t="str">
        <f>"1658.34"</f>
        <v>1658.34</v>
      </c>
      <c r="L448" s="3" t="str">
        <f>"995"</f>
        <v>995</v>
      </c>
      <c r="M448" s="3" t="str">
        <f t="shared" si="204"/>
        <v>20240516</v>
      </c>
      <c r="N448" s="3" t="s">
        <v>840</v>
      </c>
      <c r="O448" s="3"/>
    </row>
    <row r="449" spans="1:15">
      <c r="A449" s="3" t="str">
        <f>"661506210620600"</f>
        <v>661506210620600</v>
      </c>
      <c r="B449" s="3" t="s">
        <v>841</v>
      </c>
      <c r="C449" s="3" t="s">
        <v>16</v>
      </c>
      <c r="D449" s="3" t="str">
        <f t="shared" ref="D449:I449" si="250">"0"</f>
        <v>0</v>
      </c>
      <c r="E449" s="3" t="s">
        <v>17</v>
      </c>
      <c r="F449" s="3" t="s">
        <v>17</v>
      </c>
      <c r="G449" s="3" t="s">
        <v>25</v>
      </c>
      <c r="H449" s="3" t="str">
        <f t="shared" si="250"/>
        <v>0</v>
      </c>
      <c r="I449" s="3" t="str">
        <f t="shared" si="250"/>
        <v>0</v>
      </c>
      <c r="J449" s="3" t="str">
        <f>"2"</f>
        <v>2</v>
      </c>
      <c r="K449" s="3" t="str">
        <f>"1523.88"</f>
        <v>1523.88</v>
      </c>
      <c r="L449" s="3" t="str">
        <f>"914.33"</f>
        <v>914.33</v>
      </c>
      <c r="M449" s="3" t="str">
        <f t="shared" si="204"/>
        <v>20240516</v>
      </c>
      <c r="N449" s="3" t="s">
        <v>842</v>
      </c>
      <c r="O449" s="3"/>
    </row>
    <row r="450" spans="1:15">
      <c r="A450" s="3" t="str">
        <f>"661506210620500"</f>
        <v>661506210620500</v>
      </c>
      <c r="B450" s="3" t="s">
        <v>843</v>
      </c>
      <c r="C450" s="3" t="s">
        <v>16</v>
      </c>
      <c r="D450" s="3">
        <v>0.2</v>
      </c>
      <c r="E450" s="3" t="s">
        <v>17</v>
      </c>
      <c r="F450" s="3" t="s">
        <v>17</v>
      </c>
      <c r="G450" s="3" t="s">
        <v>25</v>
      </c>
      <c r="H450" s="3" t="str">
        <f>"0"</f>
        <v>0</v>
      </c>
      <c r="I450" s="3" t="str">
        <f>"0"</f>
        <v>0</v>
      </c>
      <c r="J450" s="3" t="str">
        <f>"10"</f>
        <v>10</v>
      </c>
      <c r="K450" s="3" t="str">
        <f>"5433"</f>
        <v>5433</v>
      </c>
      <c r="L450" s="3" t="str">
        <f>"3259.8"</f>
        <v>3259.8</v>
      </c>
      <c r="M450" s="3" t="str">
        <f t="shared" si="204"/>
        <v>20240516</v>
      </c>
      <c r="N450" s="3" t="s">
        <v>844</v>
      </c>
      <c r="O450" s="3"/>
    </row>
    <row r="451" spans="1:15">
      <c r="A451" s="3" t="str">
        <f>"661506210596200"</f>
        <v>661506210596200</v>
      </c>
      <c r="B451" s="3" t="s">
        <v>845</v>
      </c>
      <c r="C451" s="3" t="s">
        <v>16</v>
      </c>
      <c r="D451" s="3" t="str">
        <f t="shared" ref="D451:I451" si="251">"0"</f>
        <v>0</v>
      </c>
      <c r="E451" s="3" t="s">
        <v>17</v>
      </c>
      <c r="F451" s="3" t="s">
        <v>17</v>
      </c>
      <c r="G451" s="3" t="s">
        <v>16</v>
      </c>
      <c r="H451" s="3" t="str">
        <f t="shared" si="251"/>
        <v>0</v>
      </c>
      <c r="I451" s="3" t="str">
        <f t="shared" si="251"/>
        <v>0</v>
      </c>
      <c r="J451" s="3" t="str">
        <f>"4"</f>
        <v>4</v>
      </c>
      <c r="K451" s="3" t="str">
        <f>"2554.74"</f>
        <v>2554.74</v>
      </c>
      <c r="L451" s="3" t="str">
        <f>"766.42"</f>
        <v>766.42</v>
      </c>
      <c r="M451" s="3" t="str">
        <f t="shared" ref="M451:M479" si="252">"20240516"</f>
        <v>20240516</v>
      </c>
      <c r="N451" s="3" t="s">
        <v>846</v>
      </c>
      <c r="O451" s="3"/>
    </row>
    <row r="452" spans="1:15">
      <c r="A452" s="3" t="str">
        <f>"661506210571300"</f>
        <v>661506210571300</v>
      </c>
      <c r="B452" s="3" t="s">
        <v>847</v>
      </c>
      <c r="C452" s="3" t="s">
        <v>16</v>
      </c>
      <c r="D452" s="3" t="str">
        <f t="shared" ref="D452:I452" si="253">"0"</f>
        <v>0</v>
      </c>
      <c r="E452" s="3" t="s">
        <v>17</v>
      </c>
      <c r="F452" s="3" t="s">
        <v>17</v>
      </c>
      <c r="G452" s="3" t="s">
        <v>25</v>
      </c>
      <c r="H452" s="3" t="str">
        <f t="shared" si="253"/>
        <v>0</v>
      </c>
      <c r="I452" s="3" t="str">
        <f t="shared" si="253"/>
        <v>0</v>
      </c>
      <c r="J452" s="3" t="str">
        <f t="shared" si="248"/>
        <v>3</v>
      </c>
      <c r="K452" s="3" t="str">
        <f>"1613.52"</f>
        <v>1613.52</v>
      </c>
      <c r="L452" s="3" t="str">
        <f>"968.11"</f>
        <v>968.11</v>
      </c>
      <c r="M452" s="3" t="str">
        <f t="shared" si="252"/>
        <v>20240516</v>
      </c>
      <c r="N452" s="3" t="s">
        <v>848</v>
      </c>
      <c r="O452" s="3"/>
    </row>
    <row r="453" spans="1:15">
      <c r="A453" s="3" t="str">
        <f>"661506210528700"</f>
        <v>661506210528700</v>
      </c>
      <c r="B453" s="3" t="s">
        <v>849</v>
      </c>
      <c r="C453" s="3" t="s">
        <v>16</v>
      </c>
      <c r="D453" s="3" t="str">
        <f t="shared" ref="D453:I453" si="254">"0"</f>
        <v>0</v>
      </c>
      <c r="E453" s="3" t="s">
        <v>17</v>
      </c>
      <c r="F453" s="3" t="s">
        <v>17</v>
      </c>
      <c r="G453" s="3" t="s">
        <v>25</v>
      </c>
      <c r="H453" s="3" t="str">
        <f t="shared" si="254"/>
        <v>0</v>
      </c>
      <c r="I453" s="3" t="str">
        <f t="shared" si="254"/>
        <v>0</v>
      </c>
      <c r="J453" s="3" t="str">
        <f>"5"</f>
        <v>5</v>
      </c>
      <c r="K453" s="3" t="str">
        <f>"3595.68"</f>
        <v>3595.68</v>
      </c>
      <c r="L453" s="3" t="str">
        <f>"2157.41"</f>
        <v>2157.41</v>
      </c>
      <c r="M453" s="3" t="str">
        <f t="shared" si="252"/>
        <v>20240516</v>
      </c>
      <c r="N453" s="3" t="s">
        <v>850</v>
      </c>
      <c r="O453" s="3"/>
    </row>
    <row r="454" spans="1:15">
      <c r="A454" s="3" t="str">
        <f>"661506210419200"</f>
        <v>661506210419200</v>
      </c>
      <c r="B454" s="3" t="s">
        <v>851</v>
      </c>
      <c r="C454" s="3" t="s">
        <v>16</v>
      </c>
      <c r="D454" s="3" t="str">
        <f t="shared" ref="D454:I454" si="255">"0"</f>
        <v>0</v>
      </c>
      <c r="E454" s="3" t="s">
        <v>17</v>
      </c>
      <c r="F454" s="3" t="s">
        <v>17</v>
      </c>
      <c r="G454" s="3" t="s">
        <v>25</v>
      </c>
      <c r="H454" s="3" t="str">
        <f t="shared" si="255"/>
        <v>0</v>
      </c>
      <c r="I454" s="3" t="str">
        <f t="shared" si="255"/>
        <v>0</v>
      </c>
      <c r="J454" s="3" t="str">
        <f t="shared" ref="J454:J457" si="256">"2"</f>
        <v>2</v>
      </c>
      <c r="K454" s="3" t="str">
        <f>"1254.96"</f>
        <v>1254.96</v>
      </c>
      <c r="L454" s="3" t="str">
        <f>"752.98"</f>
        <v>752.98</v>
      </c>
      <c r="M454" s="3" t="str">
        <f t="shared" si="252"/>
        <v>20240516</v>
      </c>
      <c r="N454" s="3" t="s">
        <v>852</v>
      </c>
      <c r="O454" s="3"/>
    </row>
    <row r="455" spans="1:15">
      <c r="A455" s="3" t="str">
        <f>"661506210411100"</f>
        <v>661506210411100</v>
      </c>
      <c r="B455" s="3" t="s">
        <v>853</v>
      </c>
      <c r="C455" s="3"/>
      <c r="D455" s="3" t="str">
        <f t="shared" ref="D455:I455" si="257">"0"</f>
        <v>0</v>
      </c>
      <c r="E455" s="3" t="s">
        <v>17</v>
      </c>
      <c r="F455" s="3" t="s">
        <v>17</v>
      </c>
      <c r="G455" s="3" t="s">
        <v>25</v>
      </c>
      <c r="H455" s="3" t="str">
        <f t="shared" si="257"/>
        <v>0</v>
      </c>
      <c r="I455" s="3" t="str">
        <f t="shared" si="257"/>
        <v>0</v>
      </c>
      <c r="J455" s="3" t="str">
        <f>"5"</f>
        <v>5</v>
      </c>
      <c r="K455" s="3" t="str">
        <f>"2734.02"</f>
        <v>2734.02</v>
      </c>
      <c r="L455" s="3" t="str">
        <f>"1640.41"</f>
        <v>1640.41</v>
      </c>
      <c r="M455" s="3" t="str">
        <f t="shared" si="252"/>
        <v>20240516</v>
      </c>
      <c r="N455" s="3" t="s">
        <v>854</v>
      </c>
      <c r="O455" s="3"/>
    </row>
    <row r="456" spans="1:15">
      <c r="A456" s="3" t="str">
        <f>"661506210332700"</f>
        <v>661506210332700</v>
      </c>
      <c r="B456" s="3" t="s">
        <v>855</v>
      </c>
      <c r="C456" s="3" t="s">
        <v>16</v>
      </c>
      <c r="D456" s="3" t="str">
        <f>"0"</f>
        <v>0</v>
      </c>
      <c r="E456" s="3" t="s">
        <v>17</v>
      </c>
      <c r="F456" s="3" t="s">
        <v>17</v>
      </c>
      <c r="G456" s="3" t="s">
        <v>25</v>
      </c>
      <c r="H456" s="3"/>
      <c r="I456" s="3" t="str">
        <f>"0"</f>
        <v>0</v>
      </c>
      <c r="J456" s="3" t="str">
        <f t="shared" si="256"/>
        <v>2</v>
      </c>
      <c r="K456" s="3" t="str">
        <f>"1075.68"</f>
        <v>1075.68</v>
      </c>
      <c r="L456" s="3" t="str">
        <f>"645.41"</f>
        <v>645.41</v>
      </c>
      <c r="M456" s="3" t="str">
        <f t="shared" si="252"/>
        <v>20240516</v>
      </c>
      <c r="N456" s="3" t="s">
        <v>856</v>
      </c>
      <c r="O456" s="3"/>
    </row>
    <row r="457" spans="1:15">
      <c r="A457" s="3" t="str">
        <f>"661506210286600"</f>
        <v>661506210286600</v>
      </c>
      <c r="B457" s="3" t="s">
        <v>857</v>
      </c>
      <c r="C457" s="3" t="s">
        <v>16</v>
      </c>
      <c r="D457" s="3" t="str">
        <f t="shared" ref="D457:I457" si="258">"0"</f>
        <v>0</v>
      </c>
      <c r="E457" s="3" t="s">
        <v>17</v>
      </c>
      <c r="F457" s="3" t="s">
        <v>17</v>
      </c>
      <c r="G457" s="3" t="s">
        <v>25</v>
      </c>
      <c r="H457" s="3" t="str">
        <f t="shared" si="258"/>
        <v>0</v>
      </c>
      <c r="I457" s="3" t="str">
        <f t="shared" si="258"/>
        <v>0</v>
      </c>
      <c r="J457" s="3" t="str">
        <f t="shared" si="256"/>
        <v>2</v>
      </c>
      <c r="K457" s="3" t="str">
        <f>"1075.68"</f>
        <v>1075.68</v>
      </c>
      <c r="L457" s="3" t="str">
        <f>"645.41"</f>
        <v>645.41</v>
      </c>
      <c r="M457" s="3" t="str">
        <f t="shared" si="252"/>
        <v>20240516</v>
      </c>
      <c r="N457" s="3" t="s">
        <v>858</v>
      </c>
      <c r="O457" s="3"/>
    </row>
    <row r="458" spans="1:15">
      <c r="A458" s="3" t="str">
        <f>"661506210260500"</f>
        <v>661506210260500</v>
      </c>
      <c r="B458" s="3" t="s">
        <v>859</v>
      </c>
      <c r="C458" s="3"/>
      <c r="D458" s="3" t="str">
        <f t="shared" ref="D458:I458" si="259">"0"</f>
        <v>0</v>
      </c>
      <c r="E458" s="3" t="s">
        <v>17</v>
      </c>
      <c r="F458" s="3" t="s">
        <v>17</v>
      </c>
      <c r="G458" s="3" t="s">
        <v>25</v>
      </c>
      <c r="H458" s="3" t="str">
        <f t="shared" si="259"/>
        <v>0</v>
      </c>
      <c r="I458" s="3" t="str">
        <f t="shared" si="259"/>
        <v>0</v>
      </c>
      <c r="J458" s="3" t="str">
        <f>"1"</f>
        <v>1</v>
      </c>
      <c r="K458" s="3" t="str">
        <f>"537.84"</f>
        <v>537.84</v>
      </c>
      <c r="L458" s="3" t="str">
        <f>"322.7"</f>
        <v>322.7</v>
      </c>
      <c r="M458" s="3" t="str">
        <f t="shared" si="252"/>
        <v>20240516</v>
      </c>
      <c r="N458" s="3" t="s">
        <v>860</v>
      </c>
      <c r="O458" s="3"/>
    </row>
    <row r="459" spans="1:15">
      <c r="A459" s="3" t="str">
        <f>"661506210254600"</f>
        <v>661506210254600</v>
      </c>
      <c r="B459" s="3" t="s">
        <v>861</v>
      </c>
      <c r="C459" s="3" t="s">
        <v>16</v>
      </c>
      <c r="D459" s="3" t="str">
        <f t="shared" ref="D459:I459" si="260">"0"</f>
        <v>0</v>
      </c>
      <c r="E459" s="3" t="s">
        <v>17</v>
      </c>
      <c r="F459" s="3" t="s">
        <v>17</v>
      </c>
      <c r="G459" s="3" t="s">
        <v>25</v>
      </c>
      <c r="H459" s="3" t="str">
        <f t="shared" si="260"/>
        <v>0</v>
      </c>
      <c r="I459" s="3" t="str">
        <f t="shared" si="260"/>
        <v>0</v>
      </c>
      <c r="J459" s="3" t="str">
        <f>"1"</f>
        <v>1</v>
      </c>
      <c r="K459" s="3" t="str">
        <f>"600"</f>
        <v>600</v>
      </c>
      <c r="L459" s="3" t="str">
        <f>"360"</f>
        <v>360</v>
      </c>
      <c r="M459" s="3" t="str">
        <f t="shared" si="252"/>
        <v>20240516</v>
      </c>
      <c r="N459" s="3" t="s">
        <v>862</v>
      </c>
      <c r="O459" s="3"/>
    </row>
    <row r="460" spans="1:15">
      <c r="A460" s="3" t="str">
        <f>"661506210228600"</f>
        <v>661506210228600</v>
      </c>
      <c r="B460" s="3" t="s">
        <v>863</v>
      </c>
      <c r="C460" s="3" t="s">
        <v>16</v>
      </c>
      <c r="D460" s="3" t="str">
        <f t="shared" ref="D460:I460" si="261">"0"</f>
        <v>0</v>
      </c>
      <c r="E460" s="3" t="s">
        <v>17</v>
      </c>
      <c r="F460" s="3" t="s">
        <v>17</v>
      </c>
      <c r="G460" s="3" t="s">
        <v>25</v>
      </c>
      <c r="H460" s="3" t="str">
        <f t="shared" si="261"/>
        <v>0</v>
      </c>
      <c r="I460" s="3" t="str">
        <f t="shared" si="261"/>
        <v>0</v>
      </c>
      <c r="J460" s="3" t="str">
        <f t="shared" ref="J460:J466" si="262">"3"</f>
        <v>3</v>
      </c>
      <c r="K460" s="3" t="str">
        <f>"1613.52"</f>
        <v>1613.52</v>
      </c>
      <c r="L460" s="3" t="str">
        <f>"968.11"</f>
        <v>968.11</v>
      </c>
      <c r="M460" s="3" t="str">
        <f t="shared" si="252"/>
        <v>20240516</v>
      </c>
      <c r="N460" s="3" t="s">
        <v>864</v>
      </c>
      <c r="O460" s="3"/>
    </row>
    <row r="461" spans="1:15">
      <c r="A461" s="3" t="str">
        <f>"661506210224500"</f>
        <v>661506210224500</v>
      </c>
      <c r="B461" s="3" t="s">
        <v>865</v>
      </c>
      <c r="C461" s="3" t="s">
        <v>16</v>
      </c>
      <c r="D461" s="3" t="str">
        <f t="shared" ref="D461:I461" si="263">"0"</f>
        <v>0</v>
      </c>
      <c r="E461" s="3" t="s">
        <v>17</v>
      </c>
      <c r="F461" s="3" t="s">
        <v>17</v>
      </c>
      <c r="G461" s="3" t="s">
        <v>25</v>
      </c>
      <c r="H461" s="3" t="str">
        <f t="shared" si="263"/>
        <v>0</v>
      </c>
      <c r="I461" s="3" t="str">
        <f t="shared" si="263"/>
        <v>0</v>
      </c>
      <c r="J461" s="3" t="str">
        <f>"9"</f>
        <v>9</v>
      </c>
      <c r="K461" s="3" t="str">
        <f>"4975.02"</f>
        <v>4975.02</v>
      </c>
      <c r="L461" s="3" t="str">
        <f>"2985.01"</f>
        <v>2985.01</v>
      </c>
      <c r="M461" s="3" t="str">
        <f t="shared" si="252"/>
        <v>20240516</v>
      </c>
      <c r="N461" s="3" t="s">
        <v>866</v>
      </c>
      <c r="O461" s="3"/>
    </row>
    <row r="462" spans="1:15">
      <c r="A462" s="3" t="str">
        <f>"661506210218500"</f>
        <v>661506210218500</v>
      </c>
      <c r="B462" s="3" t="s">
        <v>867</v>
      </c>
      <c r="C462" s="3" t="s">
        <v>16</v>
      </c>
      <c r="D462" s="3" t="str">
        <f t="shared" ref="D462:I462" si="264">"0"</f>
        <v>0</v>
      </c>
      <c r="E462" s="3" t="s">
        <v>17</v>
      </c>
      <c r="F462" s="3" t="s">
        <v>17</v>
      </c>
      <c r="G462" s="3" t="s">
        <v>25</v>
      </c>
      <c r="H462" s="3" t="str">
        <f t="shared" si="264"/>
        <v>0</v>
      </c>
      <c r="I462" s="3" t="str">
        <f t="shared" si="264"/>
        <v>0</v>
      </c>
      <c r="J462" s="3" t="str">
        <f>"2"</f>
        <v>2</v>
      </c>
      <c r="K462" s="3" t="str">
        <f>"1980"</f>
        <v>1980</v>
      </c>
      <c r="L462" s="3" t="str">
        <f>"1188"</f>
        <v>1188</v>
      </c>
      <c r="M462" s="3" t="str">
        <f t="shared" si="252"/>
        <v>20240516</v>
      </c>
      <c r="N462" s="3" t="s">
        <v>868</v>
      </c>
      <c r="O462" s="3"/>
    </row>
    <row r="463" spans="1:15">
      <c r="A463" s="3" t="str">
        <f>"661506210213000"</f>
        <v>661506210213000</v>
      </c>
      <c r="B463" s="3" t="s">
        <v>869</v>
      </c>
      <c r="C463" s="3" t="s">
        <v>16</v>
      </c>
      <c r="D463" s="3" t="str">
        <f t="shared" ref="D463:I463" si="265">"0"</f>
        <v>0</v>
      </c>
      <c r="E463" s="3" t="s">
        <v>17</v>
      </c>
      <c r="F463" s="3" t="s">
        <v>17</v>
      </c>
      <c r="G463" s="3" t="s">
        <v>25</v>
      </c>
      <c r="H463" s="3" t="str">
        <f t="shared" si="265"/>
        <v>0</v>
      </c>
      <c r="I463" s="3" t="str">
        <f t="shared" si="265"/>
        <v>0</v>
      </c>
      <c r="J463" s="3" t="str">
        <f>"10"</f>
        <v>10</v>
      </c>
      <c r="K463" s="3" t="str">
        <f>"5942.38"</f>
        <v>5942.38</v>
      </c>
      <c r="L463" s="3" t="str">
        <f>"3565.43"</f>
        <v>3565.43</v>
      </c>
      <c r="M463" s="3" t="str">
        <f t="shared" si="252"/>
        <v>20240516</v>
      </c>
      <c r="N463" s="3" t="s">
        <v>870</v>
      </c>
      <c r="O463" s="3"/>
    </row>
    <row r="464" spans="1:15">
      <c r="A464" s="3" t="str">
        <f>"661506210210500"</f>
        <v>661506210210500</v>
      </c>
      <c r="B464" s="3" t="s">
        <v>871</v>
      </c>
      <c r="C464" s="3" t="s">
        <v>16</v>
      </c>
      <c r="D464" s="3" t="str">
        <f t="shared" ref="D464:I464" si="266">"0"</f>
        <v>0</v>
      </c>
      <c r="E464" s="3" t="s">
        <v>17</v>
      </c>
      <c r="F464" s="3" t="s">
        <v>17</v>
      </c>
      <c r="G464" s="3" t="s">
        <v>25</v>
      </c>
      <c r="H464" s="3" t="str">
        <f t="shared" si="266"/>
        <v>0</v>
      </c>
      <c r="I464" s="3" t="str">
        <f t="shared" si="266"/>
        <v>0</v>
      </c>
      <c r="J464" s="3" t="str">
        <f t="shared" si="262"/>
        <v>3</v>
      </c>
      <c r="K464" s="3" t="str">
        <f>"1613.52"</f>
        <v>1613.52</v>
      </c>
      <c r="L464" s="3" t="str">
        <f>"968.11"</f>
        <v>968.11</v>
      </c>
      <c r="M464" s="3" t="str">
        <f t="shared" si="252"/>
        <v>20240516</v>
      </c>
      <c r="N464" s="3" t="s">
        <v>872</v>
      </c>
      <c r="O464" s="3"/>
    </row>
    <row r="465" spans="1:15">
      <c r="A465" s="3" t="str">
        <f>"661506210206700"</f>
        <v>661506210206700</v>
      </c>
      <c r="B465" s="3" t="s">
        <v>873</v>
      </c>
      <c r="C465" s="3" t="s">
        <v>16</v>
      </c>
      <c r="D465" s="3" t="str">
        <f t="shared" ref="D465:I465" si="267">"0"</f>
        <v>0</v>
      </c>
      <c r="E465" s="3" t="s">
        <v>17</v>
      </c>
      <c r="F465" s="3" t="s">
        <v>17</v>
      </c>
      <c r="G465" s="3" t="s">
        <v>25</v>
      </c>
      <c r="H465" s="3" t="str">
        <f t="shared" si="267"/>
        <v>0</v>
      </c>
      <c r="I465" s="3" t="str">
        <f t="shared" si="267"/>
        <v>0</v>
      </c>
      <c r="J465" s="3" t="str">
        <f t="shared" si="262"/>
        <v>3</v>
      </c>
      <c r="K465" s="3" t="str">
        <f>"1795.68"</f>
        <v>1795.68</v>
      </c>
      <c r="L465" s="3" t="str">
        <f>"1077.41"</f>
        <v>1077.41</v>
      </c>
      <c r="M465" s="3" t="str">
        <f t="shared" si="252"/>
        <v>20240516</v>
      </c>
      <c r="N465" s="3" t="s">
        <v>874</v>
      </c>
      <c r="O465" s="3"/>
    </row>
    <row r="466" spans="1:15">
      <c r="A466" s="3" t="str">
        <f>"661506210199200"</f>
        <v>661506210199200</v>
      </c>
      <c r="B466" s="3" t="s">
        <v>875</v>
      </c>
      <c r="C466" s="3" t="s">
        <v>16</v>
      </c>
      <c r="D466" s="3" t="str">
        <f t="shared" ref="D466:I466" si="268">"0"</f>
        <v>0</v>
      </c>
      <c r="E466" s="3" t="s">
        <v>17</v>
      </c>
      <c r="F466" s="3" t="s">
        <v>17</v>
      </c>
      <c r="G466" s="3" t="s">
        <v>25</v>
      </c>
      <c r="H466" s="3" t="str">
        <f t="shared" si="268"/>
        <v>0</v>
      </c>
      <c r="I466" s="3" t="str">
        <f t="shared" si="268"/>
        <v>0</v>
      </c>
      <c r="J466" s="3" t="str">
        <f t="shared" si="262"/>
        <v>3</v>
      </c>
      <c r="K466" s="3" t="str">
        <f>"1703.16"</f>
        <v>1703.16</v>
      </c>
      <c r="L466" s="3" t="str">
        <f>"1021.9"</f>
        <v>1021.9</v>
      </c>
      <c r="M466" s="3" t="str">
        <f t="shared" si="252"/>
        <v>20240516</v>
      </c>
      <c r="N466" s="3" t="s">
        <v>876</v>
      </c>
      <c r="O466" s="3"/>
    </row>
    <row r="467" spans="1:15">
      <c r="A467" s="3" t="str">
        <f>"661506210163000"</f>
        <v>661506210163000</v>
      </c>
      <c r="B467" s="3" t="s">
        <v>877</v>
      </c>
      <c r="C467" s="3" t="s">
        <v>16</v>
      </c>
      <c r="D467" s="3" t="str">
        <f t="shared" ref="D467:I467" si="269">"0"</f>
        <v>0</v>
      </c>
      <c r="E467" s="3" t="s">
        <v>17</v>
      </c>
      <c r="F467" s="3" t="s">
        <v>17</v>
      </c>
      <c r="G467" s="3" t="s">
        <v>25</v>
      </c>
      <c r="H467" s="3" t="str">
        <f t="shared" si="269"/>
        <v>0</v>
      </c>
      <c r="I467" s="3" t="str">
        <f t="shared" si="269"/>
        <v>0</v>
      </c>
      <c r="J467" s="3" t="str">
        <f>"1"</f>
        <v>1</v>
      </c>
      <c r="K467" s="3" t="str">
        <f>"627.32"</f>
        <v>627.32</v>
      </c>
      <c r="L467" s="3" t="str">
        <f>"376.39"</f>
        <v>376.39</v>
      </c>
      <c r="M467" s="3" t="str">
        <f t="shared" si="252"/>
        <v>20240516</v>
      </c>
      <c r="N467" s="3" t="s">
        <v>878</v>
      </c>
      <c r="O467" s="3"/>
    </row>
    <row r="468" spans="1:15">
      <c r="A468" s="3" t="str">
        <f>"661506210156800"</f>
        <v>661506210156800</v>
      </c>
      <c r="B468" s="3" t="s">
        <v>879</v>
      </c>
      <c r="C468" s="3" t="s">
        <v>16</v>
      </c>
      <c r="D468" s="3" t="str">
        <f t="shared" ref="D468:I468" si="270">"0"</f>
        <v>0</v>
      </c>
      <c r="E468" s="3" t="s">
        <v>17</v>
      </c>
      <c r="F468" s="3" t="s">
        <v>17</v>
      </c>
      <c r="G468" s="3" t="s">
        <v>25</v>
      </c>
      <c r="H468" s="3" t="str">
        <f t="shared" si="270"/>
        <v>0</v>
      </c>
      <c r="I468" s="3" t="str">
        <f t="shared" si="270"/>
        <v>0</v>
      </c>
      <c r="J468" s="3" t="str">
        <f>"3"</f>
        <v>3</v>
      </c>
      <c r="K468" s="3" t="str">
        <f>"1972.08"</f>
        <v>1972.08</v>
      </c>
      <c r="L468" s="3" t="str">
        <f>"1183.25"</f>
        <v>1183.25</v>
      </c>
      <c r="M468" s="3" t="str">
        <f t="shared" si="252"/>
        <v>20240516</v>
      </c>
      <c r="N468" s="3" t="s">
        <v>880</v>
      </c>
      <c r="O468" s="3"/>
    </row>
    <row r="469" spans="1:15">
      <c r="A469" s="3" t="str">
        <f>"661506210142400"</f>
        <v>661506210142400</v>
      </c>
      <c r="B469" s="3" t="s">
        <v>881</v>
      </c>
      <c r="C469" s="3" t="s">
        <v>16</v>
      </c>
      <c r="D469" s="3" t="str">
        <f t="shared" ref="D469:I469" si="271">"0"</f>
        <v>0</v>
      </c>
      <c r="E469" s="3" t="s">
        <v>17</v>
      </c>
      <c r="F469" s="3" t="s">
        <v>17</v>
      </c>
      <c r="G469" s="3" t="s">
        <v>18</v>
      </c>
      <c r="H469" s="3" t="str">
        <f t="shared" si="271"/>
        <v>0</v>
      </c>
      <c r="I469" s="3" t="str">
        <f t="shared" si="271"/>
        <v>0</v>
      </c>
      <c r="J469" s="3" t="str">
        <f>"9"</f>
        <v>9</v>
      </c>
      <c r="K469" s="3" t="str">
        <f>"5109.48"</f>
        <v>5109.48</v>
      </c>
      <c r="L469" s="3" t="str">
        <f>"3065.69"</f>
        <v>3065.69</v>
      </c>
      <c r="M469" s="3" t="str">
        <f t="shared" si="252"/>
        <v>20240516</v>
      </c>
      <c r="N469" s="3" t="s">
        <v>882</v>
      </c>
      <c r="O469" s="3"/>
    </row>
    <row r="470" spans="1:15">
      <c r="A470" s="3" t="str">
        <f>"661506210112600"</f>
        <v>661506210112600</v>
      </c>
      <c r="B470" s="3" t="s">
        <v>883</v>
      </c>
      <c r="C470" s="3" t="s">
        <v>16</v>
      </c>
      <c r="D470" s="3" t="str">
        <f t="shared" ref="D470:I470" si="272">"0"</f>
        <v>0</v>
      </c>
      <c r="E470" s="3" t="s">
        <v>17</v>
      </c>
      <c r="F470" s="3" t="s">
        <v>17</v>
      </c>
      <c r="G470" s="3" t="s">
        <v>18</v>
      </c>
      <c r="H470" s="3" t="str">
        <f t="shared" si="272"/>
        <v>0</v>
      </c>
      <c r="I470" s="3" t="str">
        <f t="shared" si="272"/>
        <v>0</v>
      </c>
      <c r="J470" s="3" t="str">
        <f>"2"</f>
        <v>2</v>
      </c>
      <c r="K470" s="3" t="str">
        <f>"1344.6"</f>
        <v>1344.6</v>
      </c>
      <c r="L470" s="3" t="str">
        <f>"806.76"</f>
        <v>806.76</v>
      </c>
      <c r="M470" s="3" t="str">
        <f t="shared" si="252"/>
        <v>20240516</v>
      </c>
      <c r="N470" s="3" t="s">
        <v>884</v>
      </c>
      <c r="O470" s="3"/>
    </row>
    <row r="471" spans="1:15">
      <c r="A471" s="3" t="str">
        <f>"661506210108400"</f>
        <v>661506210108400</v>
      </c>
      <c r="B471" s="3" t="s">
        <v>885</v>
      </c>
      <c r="C471" s="3" t="s">
        <v>16</v>
      </c>
      <c r="D471" s="3" t="str">
        <f t="shared" ref="D471:I471" si="273">"0"</f>
        <v>0</v>
      </c>
      <c r="E471" s="3" t="s">
        <v>17</v>
      </c>
      <c r="F471" s="3" t="s">
        <v>17</v>
      </c>
      <c r="G471" s="3" t="s">
        <v>16</v>
      </c>
      <c r="H471" s="3" t="str">
        <f t="shared" si="273"/>
        <v>0</v>
      </c>
      <c r="I471" s="3" t="str">
        <f t="shared" si="273"/>
        <v>0</v>
      </c>
      <c r="J471" s="3" t="str">
        <f>"1"</f>
        <v>1</v>
      </c>
      <c r="K471" s="3" t="str">
        <f>"537.84"</f>
        <v>537.84</v>
      </c>
      <c r="L471" s="3" t="str">
        <f>"161.35"</f>
        <v>161.35</v>
      </c>
      <c r="M471" s="3" t="str">
        <f t="shared" si="252"/>
        <v>20240516</v>
      </c>
      <c r="N471" s="3" t="s">
        <v>886</v>
      </c>
      <c r="O471" s="3"/>
    </row>
    <row r="472" spans="1:15">
      <c r="A472" s="3" t="str">
        <f>"661506210102100"</f>
        <v>661506210102100</v>
      </c>
      <c r="B472" s="3" t="s">
        <v>887</v>
      </c>
      <c r="C472" s="3" t="s">
        <v>16</v>
      </c>
      <c r="D472" s="3" t="str">
        <f t="shared" ref="D472:I472" si="274">"0"</f>
        <v>0</v>
      </c>
      <c r="E472" s="3" t="s">
        <v>17</v>
      </c>
      <c r="F472" s="3" t="s">
        <v>17</v>
      </c>
      <c r="G472" s="3" t="s">
        <v>25</v>
      </c>
      <c r="H472" s="3" t="str">
        <f t="shared" si="274"/>
        <v>0</v>
      </c>
      <c r="I472" s="3" t="str">
        <f t="shared" si="274"/>
        <v>0</v>
      </c>
      <c r="J472" s="3" t="str">
        <f>"18"</f>
        <v>18</v>
      </c>
      <c r="K472" s="3" t="str">
        <f>"10337.62"</f>
        <v>10337.62</v>
      </c>
      <c r="L472" s="3" t="str">
        <f>"6202.57"</f>
        <v>6202.57</v>
      </c>
      <c r="M472" s="3" t="str">
        <f t="shared" si="252"/>
        <v>20240516</v>
      </c>
      <c r="N472" s="3" t="str">
        <f>"911506215756881175"</f>
        <v>911506215756881175</v>
      </c>
      <c r="O472" s="3"/>
    </row>
    <row r="473" spans="1:15">
      <c r="A473" s="3" t="str">
        <f>"661506210090400"</f>
        <v>661506210090400</v>
      </c>
      <c r="B473" s="3" t="s">
        <v>888</v>
      </c>
      <c r="C473" s="3" t="s">
        <v>16</v>
      </c>
      <c r="D473" s="3" t="str">
        <f t="shared" ref="D473:I473" si="275">"0"</f>
        <v>0</v>
      </c>
      <c r="E473" s="3" t="s">
        <v>17</v>
      </c>
      <c r="F473" s="3" t="s">
        <v>17</v>
      </c>
      <c r="G473" s="3" t="s">
        <v>18</v>
      </c>
      <c r="H473" s="3" t="str">
        <f t="shared" si="275"/>
        <v>0</v>
      </c>
      <c r="I473" s="3" t="str">
        <f t="shared" si="275"/>
        <v>0</v>
      </c>
      <c r="J473" s="3" t="str">
        <f>"37"</f>
        <v>37</v>
      </c>
      <c r="K473" s="3" t="str">
        <f>"20710.9"</f>
        <v>20710.9</v>
      </c>
      <c r="L473" s="3" t="str">
        <f>"12426.54"</f>
        <v>12426.54</v>
      </c>
      <c r="M473" s="3" t="str">
        <f t="shared" si="252"/>
        <v>20240516</v>
      </c>
      <c r="N473" s="3" t="str">
        <f>"911506215669326168"</f>
        <v>911506215669326168</v>
      </c>
      <c r="O473" s="3"/>
    </row>
    <row r="474" spans="1:15">
      <c r="A474" s="3" t="str">
        <f>"661506210074500"</f>
        <v>661506210074500</v>
      </c>
      <c r="B474" s="3" t="s">
        <v>889</v>
      </c>
      <c r="C474" s="3"/>
      <c r="D474" s="3" t="str">
        <f t="shared" ref="D474:I474" si="276">"0"</f>
        <v>0</v>
      </c>
      <c r="E474" s="3" t="s">
        <v>17</v>
      </c>
      <c r="F474" s="3" t="s">
        <v>17</v>
      </c>
      <c r="G474" s="3" t="s">
        <v>18</v>
      </c>
      <c r="H474" s="3" t="str">
        <f t="shared" si="276"/>
        <v>0</v>
      </c>
      <c r="I474" s="3" t="str">
        <f t="shared" si="276"/>
        <v>0</v>
      </c>
      <c r="J474" s="3" t="str">
        <f>"2"</f>
        <v>2</v>
      </c>
      <c r="K474" s="3" t="str">
        <f>"358.74"</f>
        <v>358.74</v>
      </c>
      <c r="L474" s="3" t="str">
        <f>"215.24"</f>
        <v>215.24</v>
      </c>
      <c r="M474" s="3" t="str">
        <f t="shared" si="252"/>
        <v>20240516</v>
      </c>
      <c r="N474" s="3" t="s">
        <v>890</v>
      </c>
      <c r="O474" s="3"/>
    </row>
    <row r="475" spans="1:15">
      <c r="A475" s="3" t="str">
        <f>"661506210060600"</f>
        <v>661506210060600</v>
      </c>
      <c r="B475" s="3" t="s">
        <v>891</v>
      </c>
      <c r="C475" s="3" t="s">
        <v>16</v>
      </c>
      <c r="D475" s="3" t="str">
        <f t="shared" ref="D475:I475" si="277">"0"</f>
        <v>0</v>
      </c>
      <c r="E475" s="3" t="s">
        <v>17</v>
      </c>
      <c r="F475" s="3" t="s">
        <v>17</v>
      </c>
      <c r="G475" s="3" t="s">
        <v>25</v>
      </c>
      <c r="H475" s="3" t="str">
        <f t="shared" si="277"/>
        <v>0</v>
      </c>
      <c r="I475" s="3" t="str">
        <f t="shared" si="277"/>
        <v>0</v>
      </c>
      <c r="J475" s="3" t="str">
        <f>"3"</f>
        <v>3</v>
      </c>
      <c r="K475" s="3" t="str">
        <f>"1613.52"</f>
        <v>1613.52</v>
      </c>
      <c r="L475" s="3" t="str">
        <f>"968.11"</f>
        <v>968.11</v>
      </c>
      <c r="M475" s="3" t="str">
        <f t="shared" si="252"/>
        <v>20240516</v>
      </c>
      <c r="N475" s="3" t="s">
        <v>892</v>
      </c>
      <c r="O475" s="3"/>
    </row>
    <row r="476" spans="1:15">
      <c r="A476" s="3" t="str">
        <f>"661506210014400"</f>
        <v>661506210014400</v>
      </c>
      <c r="B476" s="3" t="s">
        <v>893</v>
      </c>
      <c r="C476" s="3"/>
      <c r="D476" s="3" t="str">
        <f t="shared" ref="D476:I476" si="278">"0"</f>
        <v>0</v>
      </c>
      <c r="E476" s="3" t="s">
        <v>17</v>
      </c>
      <c r="F476" s="3" t="s">
        <v>17</v>
      </c>
      <c r="G476" s="3" t="s">
        <v>25</v>
      </c>
      <c r="H476" s="3" t="str">
        <f t="shared" si="278"/>
        <v>0</v>
      </c>
      <c r="I476" s="3" t="str">
        <f t="shared" si="278"/>
        <v>0</v>
      </c>
      <c r="J476" s="3" t="str">
        <f>"2"</f>
        <v>2</v>
      </c>
      <c r="K476" s="3" t="str">
        <f>"1075.68"</f>
        <v>1075.68</v>
      </c>
      <c r="L476" s="3" t="str">
        <f>"645.41"</f>
        <v>645.41</v>
      </c>
      <c r="M476" s="3" t="str">
        <f t="shared" si="252"/>
        <v>20240516</v>
      </c>
      <c r="N476" s="3" t="s">
        <v>894</v>
      </c>
      <c r="O476" s="3"/>
    </row>
    <row r="477" spans="1:15">
      <c r="A477" s="3" t="str">
        <f>"62512898"</f>
        <v>62512898</v>
      </c>
      <c r="B477" s="3" t="s">
        <v>895</v>
      </c>
      <c r="C477" s="3" t="s">
        <v>16</v>
      </c>
      <c r="D477" s="3" t="str">
        <f t="shared" ref="D477:I477" si="279">"0"</f>
        <v>0</v>
      </c>
      <c r="E477" s="3" t="s">
        <v>17</v>
      </c>
      <c r="F477" s="3" t="s">
        <v>17</v>
      </c>
      <c r="G477" s="3" t="s">
        <v>25</v>
      </c>
      <c r="H477" s="3" t="str">
        <f t="shared" si="279"/>
        <v>0</v>
      </c>
      <c r="I477" s="3" t="str">
        <f t="shared" si="279"/>
        <v>0</v>
      </c>
      <c r="J477" s="3" t="str">
        <f>"8"</f>
        <v>8</v>
      </c>
      <c r="K477" s="3" t="str">
        <f>"5351.04"</f>
        <v>5351.04</v>
      </c>
      <c r="L477" s="3" t="str">
        <f>"3210.62"</f>
        <v>3210.62</v>
      </c>
      <c r="M477" s="3" t="str">
        <f t="shared" si="252"/>
        <v>20240516</v>
      </c>
      <c r="N477" s="3" t="s">
        <v>896</v>
      </c>
      <c r="O477" s="3"/>
    </row>
    <row r="478" spans="1:15">
      <c r="A478" s="3" t="str">
        <f>"1506215793800"</f>
        <v>1506215793800</v>
      </c>
      <c r="B478" s="3" t="s">
        <v>897</v>
      </c>
      <c r="C478" s="3" t="s">
        <v>16</v>
      </c>
      <c r="D478" s="3" t="str">
        <f>"0"</f>
        <v>0</v>
      </c>
      <c r="E478" s="3" t="s">
        <v>17</v>
      </c>
      <c r="F478" s="3" t="s">
        <v>17</v>
      </c>
      <c r="G478" s="3" t="s">
        <v>25</v>
      </c>
      <c r="H478" s="3"/>
      <c r="I478" s="3" t="str">
        <f>"0"</f>
        <v>0</v>
      </c>
      <c r="J478" s="3" t="str">
        <f>"3"</f>
        <v>3</v>
      </c>
      <c r="K478" s="3" t="str">
        <f>"1613.52"</f>
        <v>1613.52</v>
      </c>
      <c r="L478" s="3" t="str">
        <f>"968.11"</f>
        <v>968.11</v>
      </c>
      <c r="M478" s="3" t="str">
        <f t="shared" si="252"/>
        <v>20240516</v>
      </c>
      <c r="N478" s="3" t="s">
        <v>898</v>
      </c>
      <c r="O478" s="3"/>
    </row>
    <row r="479" spans="1:15">
      <c r="A479" s="3" t="str">
        <f>"1506214130000"</f>
        <v>1506214130000</v>
      </c>
      <c r="B479" s="3" t="s">
        <v>899</v>
      </c>
      <c r="C479" s="3" t="s">
        <v>16</v>
      </c>
      <c r="D479" s="3">
        <v>0.02</v>
      </c>
      <c r="E479" s="3" t="s">
        <v>17</v>
      </c>
      <c r="F479" s="3" t="s">
        <v>17</v>
      </c>
      <c r="G479" s="3" t="s">
        <v>18</v>
      </c>
      <c r="H479" s="3" t="str">
        <f>"0"</f>
        <v>0</v>
      </c>
      <c r="I479" s="3" t="str">
        <f>"0"</f>
        <v>0</v>
      </c>
      <c r="J479" s="3" t="str">
        <f>"112"</f>
        <v>112</v>
      </c>
      <c r="K479" s="3" t="str">
        <f>"86101.14"</f>
        <v>86101.14</v>
      </c>
      <c r="L479" s="3" t="str">
        <f>"51660.68"</f>
        <v>51660.68</v>
      </c>
      <c r="M479" s="3" t="str">
        <f t="shared" si="252"/>
        <v>20240516</v>
      </c>
      <c r="N479" s="3" t="s">
        <v>900</v>
      </c>
      <c r="O479" s="3"/>
    </row>
  </sheetData>
  <mergeCells count="1">
    <mergeCell ref="A1:O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马培培</cp:lastModifiedBy>
  <dcterms:created xsi:type="dcterms:W3CDTF">2024-07-18T09:26:49Z</dcterms:created>
  <dcterms:modified xsi:type="dcterms:W3CDTF">2024-07-19T00:54:44Z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DFABB79EE89346C7B397C532FF6A7C4C_13</vt:lpwstr>
  </property>
</Properties>
</file>